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Akoontan\World Cup 2026\World Cup Schedule\"/>
    </mc:Choice>
  </mc:AlternateContent>
  <xr:revisionPtr revIDLastSave="0" documentId="13_ncr:1_{C8B21E18-71A7-4BAA-9863-A854B64E5138}" xr6:coauthVersionLast="47" xr6:coauthVersionMax="47" xr10:uidLastSave="{00000000-0000-0000-0000-000000000000}"/>
  <workbookProtection workbookAlgorithmName="SHA-512" workbookHashValue="qNhe2qy0Zgx3xewPVCXlrZ1G7iqLXZeKXmaiRpPrgNO57V60sccMUm1JE6byGLawvuqw9G7kd6cRLZCLWbYqgQ==" workbookSaltValue="hbdSDk13B9EAP9s+TfyXbg==" workbookSpinCount="100000" lockStructure="1"/>
  <bookViews>
    <workbookView xWindow="-120" yWindow="-120" windowWidth="20730" windowHeight="11760" tabRatio="583" activeTab="5" xr2:uid="{00000000-000D-0000-FFFF-FFFF00000000}"/>
  </bookViews>
  <sheets>
    <sheet name="Setup" sheetId="1" r:id="rId1"/>
    <sheet name="Matches" sheetId="2" r:id="rId2"/>
    <sheet name="Calculator" sheetId="3" state="hidden" r:id="rId3"/>
    <sheet name="Language" sheetId="4" r:id="rId4"/>
    <sheet name="License" sheetId="5" r:id="rId5"/>
    <sheet name="About" sheetId="6" r:id="rId6"/>
  </sheets>
  <definedNames>
    <definedName name="Countries">Language!$C$1:$J$1</definedName>
    <definedName name="GroupA">Calculator!$ED$7</definedName>
    <definedName name="GroupB">Calculator!$ED$13</definedName>
    <definedName name="GroupC">Calculator!$ED$19</definedName>
    <definedName name="GroupD">Calculator!$ED$25</definedName>
    <definedName name="GroupE">Calculator!$ED$31</definedName>
    <definedName name="GroupF">Calculator!$ED$37</definedName>
    <definedName name="GroupG">Calculator!$ED$43</definedName>
    <definedName name="GroupH">Calculator!$ED$49</definedName>
    <definedName name="LanguageRef">Language!$C$1:$I$1</definedName>
    <definedName name="_xlnm.Print_Area" localSheetId="1">Matches!$A$2:$AC$109</definedName>
    <definedName name="_xlnm.Print_Area" localSheetId="0">Setup!$A$4:$G$174</definedName>
    <definedName name="_xlnm.Print_Titles" localSheetId="1">Matches!$2:$2</definedName>
    <definedName name="Team">Calculator!$DS$7:$DS$38</definedName>
    <definedName name="TimeZoneData">Setup!$C$4</definedName>
    <definedName name="TimeZoneList">Calculator!$DW$7:$DW$56</definedName>
    <definedName name="Translation">Language!$C$3:$I$171</definedName>
    <definedName name="TransRef">Language!$B$3:$B$171</definedName>
  </definedNames>
  <calcPr calcId="181029"/>
</workbook>
</file>

<file path=xl/calcChain.xml><?xml version="1.0" encoding="utf-8"?>
<calcChain xmlns="http://schemas.openxmlformats.org/spreadsheetml/2006/main">
  <c r="DB47" i="3" l="1"/>
  <c r="DB45" i="3"/>
  <c r="DB43" i="3"/>
  <c r="DB41" i="3"/>
  <c r="DB39" i="3"/>
  <c r="DB37" i="3"/>
  <c r="DB35" i="3"/>
  <c r="DB33" i="3"/>
  <c r="DB31" i="3"/>
  <c r="DB29" i="3"/>
  <c r="DB27" i="3"/>
  <c r="DB25" i="3"/>
  <c r="DB23" i="3"/>
  <c r="DB21" i="3"/>
  <c r="DB19" i="3"/>
  <c r="DB17" i="3"/>
  <c r="DB15" i="3"/>
  <c r="DB13" i="3"/>
  <c r="DB11" i="3"/>
  <c r="DB9" i="3"/>
  <c r="DB7" i="3"/>
  <c r="DB5" i="3"/>
  <c r="DB3" i="3"/>
  <c r="DA2" i="3"/>
  <c r="DC74" i="3" s="1"/>
  <c r="DA21" i="3"/>
  <c r="S662" i="3"/>
  <c r="A76" i="3"/>
  <c r="A75" i="3"/>
  <c r="A74" i="3"/>
  <c r="A73" i="3"/>
  <c r="A70" i="3"/>
  <c r="A69" i="3"/>
  <c r="A68" i="3"/>
  <c r="A67" i="3"/>
  <c r="A64" i="3"/>
  <c r="A63" i="3"/>
  <c r="A62" i="3"/>
  <c r="A61" i="3"/>
  <c r="A58" i="3"/>
  <c r="A57" i="3"/>
  <c r="A56" i="3"/>
  <c r="A55" i="3"/>
  <c r="A52" i="3"/>
  <c r="A51" i="3"/>
  <c r="A50" i="3"/>
  <c r="A49" i="3"/>
  <c r="A46" i="3"/>
  <c r="A45" i="3"/>
  <c r="A44" i="3"/>
  <c r="A43" i="3"/>
  <c r="A40" i="3"/>
  <c r="A39" i="3"/>
  <c r="A38" i="3"/>
  <c r="A37" i="3"/>
  <c r="A34" i="3"/>
  <c r="A33" i="3"/>
  <c r="A32" i="3"/>
  <c r="A31" i="3"/>
  <c r="A28" i="3"/>
  <c r="A27" i="3"/>
  <c r="A26" i="3"/>
  <c r="A25" i="3"/>
  <c r="A21" i="3"/>
  <c r="A20" i="3"/>
  <c r="A19" i="3"/>
  <c r="A18" i="3"/>
  <c r="A14" i="3"/>
  <c r="A13" i="3"/>
  <c r="A12" i="3"/>
  <c r="A11" i="3"/>
  <c r="A7" i="3"/>
  <c r="A6" i="3"/>
  <c r="A5" i="3"/>
  <c r="A4" i="3"/>
  <c r="DB49" i="3" l="1"/>
  <c r="DB51" i="3"/>
  <c r="DB53" i="3"/>
  <c r="DB55" i="3"/>
  <c r="DB57" i="3"/>
  <c r="DB59" i="3"/>
  <c r="DB61" i="3"/>
  <c r="DB63" i="3"/>
  <c r="DB65" i="3"/>
  <c r="DB67" i="3"/>
  <c r="DB69" i="3"/>
  <c r="DB71" i="3"/>
  <c r="DB73" i="3"/>
  <c r="DC3" i="3"/>
  <c r="DC5" i="3"/>
  <c r="DC7" i="3"/>
  <c r="DC9" i="3"/>
  <c r="DC11" i="3"/>
  <c r="DC13" i="3"/>
  <c r="DC15" i="3"/>
  <c r="DC17" i="3"/>
  <c r="DC19" i="3"/>
  <c r="DC21" i="3"/>
  <c r="DC23" i="3"/>
  <c r="DC25" i="3"/>
  <c r="DC27" i="3"/>
  <c r="DC29" i="3"/>
  <c r="DC31" i="3"/>
  <c r="DC33" i="3"/>
  <c r="DC35" i="3"/>
  <c r="DC37" i="3"/>
  <c r="DC39" i="3"/>
  <c r="DC41" i="3"/>
  <c r="DC43" i="3"/>
  <c r="DC45" i="3"/>
  <c r="DC47" i="3"/>
  <c r="DC49" i="3"/>
  <c r="DC51" i="3"/>
  <c r="DC53" i="3"/>
  <c r="DC55" i="3"/>
  <c r="DC57" i="3"/>
  <c r="DC59" i="3"/>
  <c r="DC61" i="3"/>
  <c r="DC63" i="3"/>
  <c r="DC65" i="3"/>
  <c r="DC67" i="3"/>
  <c r="DC69" i="3"/>
  <c r="DC71" i="3"/>
  <c r="DC73" i="3"/>
  <c r="DB4" i="3"/>
  <c r="DB6" i="3"/>
  <c r="DB8" i="3"/>
  <c r="DB10" i="3"/>
  <c r="DB12" i="3"/>
  <c r="DB14" i="3"/>
  <c r="DB16" i="3"/>
  <c r="DB18" i="3"/>
  <c r="DB20" i="3"/>
  <c r="DB22" i="3"/>
  <c r="DB24" i="3"/>
  <c r="DB26" i="3"/>
  <c r="DB28" i="3"/>
  <c r="DB30" i="3"/>
  <c r="DB32" i="3"/>
  <c r="DB34" i="3"/>
  <c r="DB36" i="3"/>
  <c r="DB38" i="3"/>
  <c r="DB40" i="3"/>
  <c r="DB42" i="3"/>
  <c r="DB44" i="3"/>
  <c r="DB46" i="3"/>
  <c r="DB48" i="3"/>
  <c r="DB50" i="3"/>
  <c r="DB52" i="3"/>
  <c r="DB54" i="3"/>
  <c r="DB56" i="3"/>
  <c r="DB58" i="3"/>
  <c r="DB60" i="3"/>
  <c r="DB62" i="3"/>
  <c r="DB64" i="3"/>
  <c r="DB66" i="3"/>
  <c r="DB68" i="3"/>
  <c r="DB70" i="3"/>
  <c r="DB72" i="3"/>
  <c r="DB74" i="3"/>
  <c r="DC4" i="3"/>
  <c r="DC6" i="3"/>
  <c r="DC8" i="3"/>
  <c r="DC10" i="3"/>
  <c r="DC12" i="3"/>
  <c r="DC14" i="3"/>
  <c r="DC16" i="3"/>
  <c r="DC18" i="3"/>
  <c r="DC20" i="3"/>
  <c r="DC22" i="3"/>
  <c r="DC24" i="3"/>
  <c r="DC26" i="3"/>
  <c r="DC28" i="3"/>
  <c r="DC30" i="3"/>
  <c r="DC32" i="3"/>
  <c r="DC34" i="3"/>
  <c r="DC36" i="3"/>
  <c r="DC38" i="3"/>
  <c r="DC40" i="3"/>
  <c r="DC42" i="3"/>
  <c r="DC44" i="3"/>
  <c r="DC46" i="3"/>
  <c r="DC48" i="3"/>
  <c r="DC50" i="3"/>
  <c r="DC52" i="3"/>
  <c r="DC54" i="3"/>
  <c r="DC56" i="3"/>
  <c r="DC58" i="3"/>
  <c r="DC60" i="3"/>
  <c r="DC62" i="3"/>
  <c r="DC64" i="3"/>
  <c r="DC66" i="3"/>
  <c r="DC68" i="3"/>
  <c r="DC70" i="3"/>
  <c r="DC72" i="3"/>
  <c r="B171" i="4"/>
  <c r="B170" i="4"/>
  <c r="B169" i="4"/>
  <c r="B168" i="4"/>
  <c r="B167" i="4"/>
  <c r="B166" i="4"/>
  <c r="B165" i="4"/>
  <c r="B164" i="4"/>
  <c r="B163" i="4"/>
  <c r="B162" i="4"/>
  <c r="B161" i="4"/>
  <c r="B160" i="4"/>
  <c r="B159" i="4"/>
  <c r="B158" i="4"/>
  <c r="B157" i="4"/>
  <c r="B156" i="4"/>
  <c r="B155" i="4"/>
  <c r="B154" i="4"/>
  <c r="B153" i="4"/>
  <c r="B152" i="4"/>
  <c r="B151" i="4"/>
  <c r="B150" i="4"/>
  <c r="B149" i="4"/>
  <c r="B148" i="4"/>
  <c r="B147" i="4"/>
  <c r="B146" i="4"/>
  <c r="B145" i="4"/>
  <c r="B144" i="4"/>
  <c r="B143" i="4"/>
  <c r="B142" i="4"/>
  <c r="B141" i="4"/>
  <c r="B140" i="4"/>
  <c r="B139" i="4"/>
  <c r="B138" i="4"/>
  <c r="B137" i="4"/>
  <c r="B136" i="4"/>
  <c r="B135" i="4"/>
  <c r="B134" i="4"/>
  <c r="B133" i="4"/>
  <c r="B132" i="4"/>
  <c r="B131" i="4"/>
  <c r="B130" i="4"/>
  <c r="B129" i="4"/>
  <c r="B128" i="4"/>
  <c r="B127" i="4"/>
  <c r="B126" i="4"/>
  <c r="B125" i="4"/>
  <c r="B124" i="4"/>
  <c r="B123" i="4"/>
  <c r="B122" i="4"/>
  <c r="B121" i="4"/>
  <c r="B120" i="4"/>
  <c r="B119" i="4"/>
  <c r="B118" i="4"/>
  <c r="B117" i="4"/>
  <c r="B116" i="4"/>
  <c r="B115" i="4"/>
  <c r="B114" i="4"/>
  <c r="B113" i="4"/>
  <c r="B112" i="4"/>
  <c r="B111" i="4"/>
  <c r="B110" i="4"/>
  <c r="B109" i="4"/>
  <c r="B108" i="4"/>
  <c r="B107" i="4"/>
  <c r="B106" i="4"/>
  <c r="B105" i="4"/>
  <c r="B104" i="4"/>
  <c r="B103" i="4"/>
  <c r="B102" i="4"/>
  <c r="B101" i="4"/>
  <c r="B100" i="4"/>
  <c r="B99" i="4"/>
  <c r="B98" i="4"/>
  <c r="B97" i="4"/>
  <c r="B96" i="4"/>
  <c r="B95" i="4"/>
  <c r="B94" i="4"/>
  <c r="B93" i="4"/>
  <c r="B92" i="4"/>
  <c r="B91" i="4"/>
  <c r="B90" i="4"/>
  <c r="B89" i="4"/>
  <c r="B88" i="4"/>
  <c r="B87" i="4"/>
  <c r="B86" i="4"/>
  <c r="B85" i="4"/>
  <c r="B84" i="4"/>
  <c r="B83" i="4"/>
  <c r="B82" i="4"/>
  <c r="B81" i="4"/>
  <c r="B80" i="4"/>
  <c r="B79" i="4"/>
  <c r="B78" i="4"/>
  <c r="B77" i="4"/>
  <c r="B76" i="4"/>
  <c r="B75" i="4"/>
  <c r="B74" i="4"/>
  <c r="B73" i="4"/>
  <c r="B72" i="4"/>
  <c r="B71" i="4"/>
  <c r="B70" i="4"/>
  <c r="B69" i="4"/>
  <c r="B68" i="4"/>
  <c r="B67" i="4"/>
  <c r="B66" i="4"/>
  <c r="B65" i="4"/>
  <c r="B64" i="4"/>
  <c r="B63" i="4"/>
  <c r="B62" i="4"/>
  <c r="B61" i="4"/>
  <c r="B60" i="4"/>
  <c r="B59" i="4"/>
  <c r="B58" i="4"/>
  <c r="B57" i="4"/>
  <c r="B56" i="4"/>
  <c r="B55" i="4"/>
  <c r="B54" i="4"/>
  <c r="B53" i="4"/>
  <c r="B52" i="4"/>
  <c r="B51" i="4"/>
  <c r="B50" i="4"/>
  <c r="B49" i="4"/>
  <c r="B48" i="4"/>
  <c r="B47" i="4"/>
  <c r="B46" i="4"/>
  <c r="B45" i="4"/>
  <c r="B44" i="4"/>
  <c r="B43" i="4"/>
  <c r="B42" i="4"/>
  <c r="B41" i="4"/>
  <c r="B40" i="4"/>
  <c r="B39" i="4"/>
  <c r="B38" i="4"/>
  <c r="B37" i="4"/>
  <c r="B36" i="4"/>
  <c r="B35" i="4"/>
  <c r="B34" i="4"/>
  <c r="B33" i="4"/>
  <c r="B32" i="4"/>
  <c r="B31" i="4"/>
  <c r="B30" i="4"/>
  <c r="B29" i="4"/>
  <c r="B28" i="4"/>
  <c r="B27" i="4"/>
  <c r="B26" i="4"/>
  <c r="B25" i="4"/>
  <c r="B24" i="4"/>
  <c r="B23" i="4"/>
  <c r="B22" i="4"/>
  <c r="B21" i="4"/>
  <c r="B20" i="4"/>
  <c r="B19" i="4"/>
  <c r="B18" i="4"/>
  <c r="B17" i="4"/>
  <c r="B16" i="4"/>
  <c r="B15" i="4"/>
  <c r="B14" i="4"/>
  <c r="B13" i="4"/>
  <c r="B12" i="4"/>
  <c r="B11" i="4"/>
  <c r="B10" i="4"/>
  <c r="B9" i="4"/>
  <c r="B8" i="4"/>
  <c r="B7" i="4"/>
  <c r="B6" i="4"/>
  <c r="B5" i="4"/>
  <c r="B4" i="4"/>
  <c r="B3" i="4"/>
  <c r="K76" i="3"/>
  <c r="K75" i="3"/>
  <c r="K74" i="3"/>
  <c r="K73" i="3"/>
  <c r="K70" i="3"/>
  <c r="K69" i="3"/>
  <c r="K68" i="3"/>
  <c r="K67" i="3"/>
  <c r="K64" i="3"/>
  <c r="K63" i="3"/>
  <c r="K62" i="3"/>
  <c r="K61" i="3"/>
  <c r="K58" i="3"/>
  <c r="K57" i="3"/>
  <c r="K56" i="3"/>
  <c r="K55" i="3"/>
  <c r="K52" i="3"/>
  <c r="K51" i="3"/>
  <c r="K50" i="3"/>
  <c r="K49" i="3"/>
  <c r="K46" i="3"/>
  <c r="K45" i="3"/>
  <c r="K44" i="3"/>
  <c r="K43" i="3"/>
  <c r="K40" i="3"/>
  <c r="K39" i="3"/>
  <c r="K38" i="3"/>
  <c r="K37" i="3"/>
  <c r="K34" i="3"/>
  <c r="K33" i="3"/>
  <c r="K32" i="3"/>
  <c r="K31" i="3"/>
  <c r="K28" i="3"/>
  <c r="K27" i="3"/>
  <c r="K26" i="3"/>
  <c r="K25" i="3"/>
  <c r="K21" i="3"/>
  <c r="K20" i="3"/>
  <c r="K19" i="3"/>
  <c r="K18" i="3"/>
  <c r="K14" i="3"/>
  <c r="K13" i="3"/>
  <c r="K12" i="3"/>
  <c r="K11" i="3"/>
  <c r="K7" i="3"/>
  <c r="K6" i="3"/>
  <c r="K5" i="3"/>
  <c r="K4" i="3"/>
  <c r="M16" i="2" l="1"/>
  <c r="B3" i="2"/>
  <c r="B2" i="2"/>
  <c r="I136" i="4"/>
  <c r="I137" i="4"/>
  <c r="I138" i="4"/>
  <c r="I139" i="4"/>
  <c r="I140" i="4"/>
  <c r="I141" i="4"/>
  <c r="S104" i="2"/>
  <c r="S91" i="2"/>
  <c r="I111" i="4"/>
  <c r="I112" i="4"/>
  <c r="I113" i="4"/>
  <c r="I114" i="4"/>
  <c r="I115" i="4"/>
  <c r="I116" i="4"/>
  <c r="I117" i="4"/>
  <c r="I118" i="4"/>
  <c r="I119" i="4"/>
  <c r="I120" i="4"/>
  <c r="I121" i="4"/>
  <c r="I122" i="4"/>
  <c r="I123" i="4"/>
  <c r="I124" i="4"/>
  <c r="I125" i="4"/>
  <c r="I126" i="4"/>
  <c r="I127" i="4"/>
  <c r="I128" i="4"/>
  <c r="I129" i="4"/>
  <c r="I130" i="4"/>
  <c r="I131" i="4"/>
  <c r="I132" i="4"/>
  <c r="I133" i="4"/>
  <c r="I134" i="4"/>
  <c r="I135" i="4"/>
  <c r="I98" i="4" l="1"/>
  <c r="I99" i="4"/>
  <c r="I100" i="4"/>
  <c r="I101" i="4"/>
  <c r="I102" i="4"/>
  <c r="I103" i="4"/>
  <c r="I104" i="4"/>
  <c r="I105" i="4"/>
  <c r="I67" i="4" l="1"/>
  <c r="I68" i="4"/>
  <c r="I69" i="4"/>
  <c r="I70" i="4"/>
  <c r="I71" i="4"/>
  <c r="I72" i="4"/>
  <c r="I73" i="4"/>
  <c r="I74" i="4"/>
  <c r="I75" i="4"/>
  <c r="I76" i="4"/>
  <c r="I77" i="4"/>
  <c r="I78" i="4"/>
  <c r="I79" i="4"/>
  <c r="I80" i="4"/>
  <c r="I81" i="4"/>
  <c r="I82" i="4"/>
  <c r="I83" i="4"/>
  <c r="I84" i="4"/>
  <c r="I85" i="4"/>
  <c r="I86" i="4"/>
  <c r="I87" i="4"/>
  <c r="I88" i="4"/>
  <c r="I89" i="4"/>
  <c r="I90" i="4"/>
  <c r="I91" i="4"/>
  <c r="I92" i="4"/>
  <c r="I93" i="4"/>
  <c r="I94" i="4"/>
  <c r="I95" i="4"/>
  <c r="I96" i="4"/>
  <c r="I97" i="4"/>
  <c r="I106" i="4"/>
  <c r="I107" i="4"/>
  <c r="I108" i="4"/>
  <c r="I109" i="4"/>
  <c r="I110" i="4"/>
  <c r="I142" i="4"/>
  <c r="I143" i="4"/>
  <c r="I144" i="4"/>
  <c r="I145" i="4"/>
  <c r="I146" i="4"/>
  <c r="I147" i="4"/>
  <c r="I148" i="4"/>
  <c r="I149" i="4"/>
  <c r="I150" i="4"/>
  <c r="I151" i="4"/>
  <c r="I152" i="4"/>
  <c r="I153" i="4"/>
  <c r="I154" i="4"/>
  <c r="I155" i="4"/>
  <c r="I156" i="4"/>
  <c r="I157" i="4"/>
  <c r="I158" i="4"/>
  <c r="I159" i="4"/>
  <c r="I160" i="4"/>
  <c r="I161" i="4"/>
  <c r="I162" i="4"/>
  <c r="I163" i="4"/>
  <c r="I164" i="4"/>
  <c r="I165" i="4"/>
  <c r="I166" i="4"/>
  <c r="I167" i="4"/>
  <c r="I168" i="4"/>
  <c r="I169" i="4"/>
  <c r="I170" i="4"/>
  <c r="I171" i="4"/>
  <c r="I3" i="4"/>
  <c r="I4" i="4"/>
  <c r="I5" i="4"/>
  <c r="I6" i="4"/>
  <c r="I7" i="4"/>
  <c r="I8" i="4"/>
  <c r="I9" i="4"/>
  <c r="I10" i="4"/>
  <c r="I11" i="4"/>
  <c r="I12" i="4"/>
  <c r="I13" i="4"/>
  <c r="I14" i="4"/>
  <c r="I15" i="4"/>
  <c r="I16" i="4"/>
  <c r="I17" i="4"/>
  <c r="I18" i="4"/>
  <c r="I19" i="4"/>
  <c r="I20" i="4"/>
  <c r="I21" i="4"/>
  <c r="I22" i="4"/>
  <c r="I23" i="4"/>
  <c r="I24" i="4"/>
  <c r="I25" i="4"/>
  <c r="I26" i="4"/>
  <c r="I27" i="4"/>
  <c r="I28" i="4"/>
  <c r="I29" i="4"/>
  <c r="I30" i="4"/>
  <c r="I31" i="4"/>
  <c r="I32" i="4"/>
  <c r="I33" i="4"/>
  <c r="I34" i="4"/>
  <c r="I35" i="4"/>
  <c r="I36" i="4"/>
  <c r="I37" i="4"/>
  <c r="I38" i="4"/>
  <c r="I39" i="4"/>
  <c r="I40" i="4"/>
  <c r="I41" i="4"/>
  <c r="I42" i="4"/>
  <c r="I43" i="4"/>
  <c r="I44" i="4"/>
  <c r="I45" i="4"/>
  <c r="I46" i="4"/>
  <c r="I47" i="4"/>
  <c r="I48" i="4"/>
  <c r="I49" i="4"/>
  <c r="I50" i="4"/>
  <c r="I51" i="4"/>
  <c r="I52" i="4"/>
  <c r="I53" i="4"/>
  <c r="I54" i="4"/>
  <c r="I55" i="4"/>
  <c r="I56" i="4"/>
  <c r="I57" i="4"/>
  <c r="I58" i="4"/>
  <c r="I59" i="4"/>
  <c r="I60" i="4"/>
  <c r="I61" i="4"/>
  <c r="I62" i="4"/>
  <c r="I63" i="4"/>
  <c r="I64" i="4"/>
  <c r="I65" i="4"/>
  <c r="I66" i="4"/>
  <c r="T73" i="3" l="1"/>
  <c r="CD76" i="3" s="1"/>
  <c r="CN76" i="3" s="1"/>
  <c r="DE74" i="3"/>
  <c r="DF74" i="3" s="1"/>
  <c r="DE72" i="3"/>
  <c r="DF72" i="3" s="1"/>
  <c r="T67" i="3"/>
  <c r="CD70" i="3" s="1"/>
  <c r="CM70" i="3" s="1"/>
  <c r="T61" i="3"/>
  <c r="CD64" i="3" s="1"/>
  <c r="CL64" i="3" s="1"/>
  <c r="T55" i="3"/>
  <c r="CD58" i="3" s="1"/>
  <c r="CN58" i="3" s="1"/>
  <c r="M27" i="2"/>
  <c r="H74" i="2" s="1"/>
  <c r="H27" i="2"/>
  <c r="M50" i="2" s="1"/>
  <c r="M26" i="2"/>
  <c r="M51" i="2" s="1"/>
  <c r="DD50" i="3" s="1"/>
  <c r="H26" i="2"/>
  <c r="M74" i="2" s="1"/>
  <c r="DD73" i="3" s="1"/>
  <c r="M25" i="2"/>
  <c r="M49" i="2" s="1"/>
  <c r="H25" i="2"/>
  <c r="M70" i="2" s="1"/>
  <c r="DD69" i="3" s="1"/>
  <c r="M24" i="2"/>
  <c r="H70" i="2" s="1"/>
  <c r="H24" i="2"/>
  <c r="M71" i="2" s="1"/>
  <c r="DD70" i="3" s="1"/>
  <c r="M23" i="2"/>
  <c r="H73" i="2" s="1"/>
  <c r="H23" i="2"/>
  <c r="M72" i="2" s="1"/>
  <c r="DD71" i="3" s="1"/>
  <c r="M22" i="2"/>
  <c r="M47" i="2" s="1"/>
  <c r="H22" i="2"/>
  <c r="M21" i="2"/>
  <c r="H64" i="2" s="1"/>
  <c r="H21" i="2"/>
  <c r="M20" i="2"/>
  <c r="M44" i="2" s="1"/>
  <c r="H20" i="2"/>
  <c r="H45" i="2" s="1"/>
  <c r="M19" i="2"/>
  <c r="H66" i="2" s="1"/>
  <c r="H19" i="2"/>
  <c r="H42" i="2" s="1"/>
  <c r="M18" i="2"/>
  <c r="H67" i="2" s="1"/>
  <c r="DA66" i="3" s="1"/>
  <c r="H18" i="2"/>
  <c r="M66" i="2" s="1"/>
  <c r="DD65" i="3" s="1"/>
  <c r="H40" i="2"/>
  <c r="H16" i="2"/>
  <c r="M68" i="2" s="1"/>
  <c r="DD67" i="3" s="1"/>
  <c r="M15" i="2"/>
  <c r="H39" i="2" s="1"/>
  <c r="H15" i="2"/>
  <c r="M38" i="2" s="1"/>
  <c r="M14" i="2"/>
  <c r="H60" i="2" s="1"/>
  <c r="H14" i="2"/>
  <c r="H38" i="2" s="1"/>
  <c r="M12" i="2"/>
  <c r="H59" i="2" s="1"/>
  <c r="DA58" i="3" s="1"/>
  <c r="H12" i="2"/>
  <c r="M11" i="2"/>
  <c r="H54" i="2" s="1"/>
  <c r="H11" i="2"/>
  <c r="M30" i="2" s="1"/>
  <c r="M10" i="2"/>
  <c r="H53" i="2" s="1"/>
  <c r="DA52" i="3" s="1"/>
  <c r="H10" i="2"/>
  <c r="H32" i="2" s="1"/>
  <c r="M8" i="2"/>
  <c r="H52" i="2" s="1"/>
  <c r="H8" i="2"/>
  <c r="M32" i="2" s="1"/>
  <c r="M7" i="2"/>
  <c r="H63" i="2" s="1"/>
  <c r="H7" i="2"/>
  <c r="H35" i="2" s="1"/>
  <c r="M5" i="2"/>
  <c r="H56" i="2" s="1"/>
  <c r="H5" i="2"/>
  <c r="M4" i="2"/>
  <c r="H57" i="2" s="1"/>
  <c r="H4" i="2"/>
  <c r="H31" i="2" s="1"/>
  <c r="EB71" i="3"/>
  <c r="D68" i="2" s="1"/>
  <c r="EB73" i="3"/>
  <c r="D69" i="2" s="1"/>
  <c r="EB74" i="3"/>
  <c r="D70" i="2" s="1"/>
  <c r="EB75" i="3"/>
  <c r="D71" i="2" s="1"/>
  <c r="EB76" i="3"/>
  <c r="D72" i="2" s="1"/>
  <c r="EB77" i="3"/>
  <c r="D73" i="2" s="1"/>
  <c r="EB78" i="3"/>
  <c r="D74" i="2" s="1"/>
  <c r="EB79" i="3"/>
  <c r="D75" i="2" s="1"/>
  <c r="EB80" i="3"/>
  <c r="D77" i="2" s="1"/>
  <c r="EB81" i="3"/>
  <c r="D78" i="2" s="1"/>
  <c r="EB82" i="3"/>
  <c r="D79" i="2" s="1"/>
  <c r="EB83" i="3"/>
  <c r="D80" i="2" s="1"/>
  <c r="EB84" i="3"/>
  <c r="D81" i="2" s="1"/>
  <c r="EB85" i="3"/>
  <c r="D82" i="2" s="1"/>
  <c r="EB86" i="3"/>
  <c r="D83" i="2" s="1"/>
  <c r="EB87" i="3"/>
  <c r="D84" i="2" s="1"/>
  <c r="EB88" i="3"/>
  <c r="D85" i="2" s="1"/>
  <c r="EB89" i="3"/>
  <c r="D86" i="2" s="1"/>
  <c r="EB90" i="3"/>
  <c r="D87" i="2" s="1"/>
  <c r="EB91" i="3"/>
  <c r="D88" i="2" s="1"/>
  <c r="EB92" i="3"/>
  <c r="D89" i="2" s="1"/>
  <c r="EB93" i="3"/>
  <c r="D90" i="2" s="1"/>
  <c r="EB94" i="3"/>
  <c r="D91" i="2" s="1"/>
  <c r="EB95" i="3"/>
  <c r="D92" i="2" s="1"/>
  <c r="EB96" i="3"/>
  <c r="D93" i="2" s="1"/>
  <c r="EB97" i="3"/>
  <c r="D94" i="2" s="1"/>
  <c r="EB98" i="3"/>
  <c r="D95" i="2" s="1"/>
  <c r="EB99" i="3"/>
  <c r="D96" i="2" s="1"/>
  <c r="EB100" i="3"/>
  <c r="D97" i="2" s="1"/>
  <c r="EB101" i="3"/>
  <c r="D98" i="2" s="1"/>
  <c r="EB102" i="3"/>
  <c r="D99" i="2" s="1"/>
  <c r="EB103" i="3"/>
  <c r="D100" i="2" s="1"/>
  <c r="EB104" i="3"/>
  <c r="D101" i="2" s="1"/>
  <c r="EB105" i="3"/>
  <c r="D102" i="2" s="1"/>
  <c r="EB106" i="3"/>
  <c r="D103" i="2" s="1"/>
  <c r="EB107" i="3"/>
  <c r="D104" i="2" s="1"/>
  <c r="EB108" i="3"/>
  <c r="D105" i="2" s="1"/>
  <c r="EB109" i="3"/>
  <c r="D106" i="2" s="1"/>
  <c r="EB110" i="3"/>
  <c r="D107" i="2" s="1"/>
  <c r="EB111" i="3"/>
  <c r="D108" i="2" s="1"/>
  <c r="DZ71" i="3"/>
  <c r="DZ73" i="3"/>
  <c r="DZ74" i="3"/>
  <c r="DZ75" i="3"/>
  <c r="DZ76" i="3"/>
  <c r="DZ77" i="3"/>
  <c r="DZ78" i="3"/>
  <c r="DZ79" i="3"/>
  <c r="DZ80" i="3"/>
  <c r="DZ81" i="3"/>
  <c r="DZ82" i="3"/>
  <c r="DZ83" i="3"/>
  <c r="DZ84" i="3"/>
  <c r="DZ85" i="3"/>
  <c r="DZ86" i="3"/>
  <c r="DZ87" i="3"/>
  <c r="DZ88" i="3"/>
  <c r="DZ89" i="3"/>
  <c r="DZ90" i="3"/>
  <c r="DZ91" i="3"/>
  <c r="DZ92" i="3"/>
  <c r="DZ93" i="3"/>
  <c r="DZ94" i="3"/>
  <c r="DZ95" i="3"/>
  <c r="DZ96" i="3"/>
  <c r="DZ97" i="3"/>
  <c r="DZ98" i="3"/>
  <c r="DZ99" i="3"/>
  <c r="DZ100" i="3"/>
  <c r="DZ101" i="3"/>
  <c r="DZ102" i="3"/>
  <c r="DZ103" i="3"/>
  <c r="DZ104" i="3"/>
  <c r="DZ105" i="3"/>
  <c r="DZ106" i="3"/>
  <c r="DZ107" i="3"/>
  <c r="DZ108" i="3"/>
  <c r="DZ109" i="3"/>
  <c r="DZ110" i="3"/>
  <c r="DZ111" i="3"/>
  <c r="EE51" i="3"/>
  <c r="EE52" i="3"/>
  <c r="EE53" i="3"/>
  <c r="EE54" i="3"/>
  <c r="EE47" i="3"/>
  <c r="EE48" i="3"/>
  <c r="EE49" i="3"/>
  <c r="EE50" i="3"/>
  <c r="EE39" i="3"/>
  <c r="EE40" i="3"/>
  <c r="EE41" i="3"/>
  <c r="EE42" i="3"/>
  <c r="EE43" i="3"/>
  <c r="EE44" i="3"/>
  <c r="EE45" i="3"/>
  <c r="EE46" i="3"/>
  <c r="Q2" i="2"/>
  <c r="C74" i="3" l="1"/>
  <c r="DS52" i="3"/>
  <c r="C61" i="3"/>
  <c r="DS43" i="3"/>
  <c r="C73" i="3"/>
  <c r="DS51" i="3"/>
  <c r="C62" i="3"/>
  <c r="DS44" i="3"/>
  <c r="C68" i="3"/>
  <c r="DS48" i="3"/>
  <c r="C55" i="3"/>
  <c r="DS39" i="3"/>
  <c r="C67" i="3"/>
  <c r="DS47" i="3"/>
  <c r="C64" i="3"/>
  <c r="DS46" i="3"/>
  <c r="C58" i="3"/>
  <c r="DS42" i="3"/>
  <c r="C70" i="3"/>
  <c r="DS50" i="3"/>
  <c r="C76" i="3"/>
  <c r="DS54" i="3"/>
  <c r="C56" i="3"/>
  <c r="DS40" i="3"/>
  <c r="C63" i="3"/>
  <c r="DS45" i="3"/>
  <c r="C57" i="3"/>
  <c r="DS41" i="3"/>
  <c r="C69" i="3"/>
  <c r="DS49" i="3"/>
  <c r="C75" i="3"/>
  <c r="DS53" i="3"/>
  <c r="DE71" i="3"/>
  <c r="DF71" i="3" s="1"/>
  <c r="DE65" i="3"/>
  <c r="DF65" i="3" s="1"/>
  <c r="DE63" i="3"/>
  <c r="DF63" i="3" s="1"/>
  <c r="DE61" i="3"/>
  <c r="DF61" i="3" s="1"/>
  <c r="DE53" i="3"/>
  <c r="DF53" i="3" s="1"/>
  <c r="DE51" i="3"/>
  <c r="DF51" i="3" s="1"/>
  <c r="DE55" i="3"/>
  <c r="DF55" i="3" s="1"/>
  <c r="DE69" i="3"/>
  <c r="DF69" i="3" s="1"/>
  <c r="DE70" i="3"/>
  <c r="DF70" i="3" s="1"/>
  <c r="DE66" i="3"/>
  <c r="DF66" i="3" s="1"/>
  <c r="DE62" i="3"/>
  <c r="DF62" i="3" s="1"/>
  <c r="DE60" i="3"/>
  <c r="DF60" i="3" s="1"/>
  <c r="DE52" i="3"/>
  <c r="DF52" i="3" s="1"/>
  <c r="DE50" i="3"/>
  <c r="DF50" i="3" s="1"/>
  <c r="DE68" i="3"/>
  <c r="DF68" i="3" s="1"/>
  <c r="DE64" i="3"/>
  <c r="DF64" i="3" s="1"/>
  <c r="DE58" i="3"/>
  <c r="DF58" i="3" s="1"/>
  <c r="DE73" i="3"/>
  <c r="DF73" i="3" s="1"/>
  <c r="H33" i="2"/>
  <c r="H72" i="2"/>
  <c r="H49" i="2"/>
  <c r="H75" i="2"/>
  <c r="DA74" i="3" s="1"/>
  <c r="M28" i="2"/>
  <c r="H69" i="2"/>
  <c r="DA68" i="3" s="1"/>
  <c r="DA69" i="3"/>
  <c r="DA72" i="3"/>
  <c r="M36" i="2"/>
  <c r="M42" i="2"/>
  <c r="H46" i="2"/>
  <c r="M56" i="2"/>
  <c r="DD55" i="3" s="1"/>
  <c r="M60" i="2"/>
  <c r="DD59" i="3" s="1"/>
  <c r="M64" i="2"/>
  <c r="DD63" i="3" s="1"/>
  <c r="H29" i="2"/>
  <c r="M33" i="2"/>
  <c r="H37" i="2"/>
  <c r="H43" i="2"/>
  <c r="H47" i="2"/>
  <c r="H50" i="2"/>
  <c r="H61" i="2"/>
  <c r="DA60" i="3" s="1"/>
  <c r="H65" i="2"/>
  <c r="M34" i="2"/>
  <c r="H51" i="2"/>
  <c r="M52" i="2"/>
  <c r="DD51" i="3" s="1"/>
  <c r="M58" i="2"/>
  <c r="DD57" i="3" s="1"/>
  <c r="M62" i="2"/>
  <c r="DD61" i="3" s="1"/>
  <c r="H71" i="2"/>
  <c r="M73" i="2"/>
  <c r="DD72" i="3" s="1"/>
  <c r="M48" i="2"/>
  <c r="DA55" i="3"/>
  <c r="DA59" i="3"/>
  <c r="DA51" i="3"/>
  <c r="DA53" i="3"/>
  <c r="DA65" i="3"/>
  <c r="DA63" i="3"/>
  <c r="DA73" i="3"/>
  <c r="DA56" i="3"/>
  <c r="M31" i="2"/>
  <c r="M39" i="2"/>
  <c r="M41" i="2"/>
  <c r="M43" i="2"/>
  <c r="M45" i="2"/>
  <c r="M53" i="2"/>
  <c r="DD52" i="3" s="1"/>
  <c r="M55" i="2"/>
  <c r="DD54" i="3" s="1"/>
  <c r="M57" i="2"/>
  <c r="DD56" i="3" s="1"/>
  <c r="M61" i="2"/>
  <c r="DD60" i="3" s="1"/>
  <c r="M65" i="2"/>
  <c r="DD64" i="3" s="1"/>
  <c r="M67" i="2"/>
  <c r="DD66" i="3" s="1"/>
  <c r="M75" i="2"/>
  <c r="DD74" i="3" s="1"/>
  <c r="H28" i="2"/>
  <c r="H44" i="2"/>
  <c r="H48" i="2"/>
  <c r="DA62" i="3"/>
  <c r="M46" i="2"/>
  <c r="CL76" i="3"/>
  <c r="CM76" i="3"/>
  <c r="CT76" i="3"/>
  <c r="CP76" i="3"/>
  <c r="CW76" i="3"/>
  <c r="CS76" i="3"/>
  <c r="CK76" i="3"/>
  <c r="CO76" i="3" s="1"/>
  <c r="CV76" i="3"/>
  <c r="CR76" i="3"/>
  <c r="CQ76" i="3"/>
  <c r="T74" i="3"/>
  <c r="CU76" i="3"/>
  <c r="DE59" i="3"/>
  <c r="DF59" i="3" s="1"/>
  <c r="DE57" i="3"/>
  <c r="DF57" i="3" s="1"/>
  <c r="DE56" i="3"/>
  <c r="DF56" i="3" s="1"/>
  <c r="DE54" i="3"/>
  <c r="DF54" i="3" s="1"/>
  <c r="DE67" i="3"/>
  <c r="DF67" i="3" s="1"/>
  <c r="CL70" i="3"/>
  <c r="CN70" i="3"/>
  <c r="T68" i="3"/>
  <c r="CM64" i="3"/>
  <c r="CN64" i="3"/>
  <c r="CL58" i="3"/>
  <c r="T56" i="3"/>
  <c r="CM58" i="3"/>
  <c r="CT70" i="3"/>
  <c r="CP70" i="3"/>
  <c r="CW70" i="3"/>
  <c r="CS70" i="3"/>
  <c r="CK70" i="3"/>
  <c r="CO70" i="3" s="1"/>
  <c r="CV70" i="3"/>
  <c r="CR70" i="3"/>
  <c r="CQ70" i="3"/>
  <c r="CU70" i="3"/>
  <c r="CT64" i="3"/>
  <c r="CP64" i="3"/>
  <c r="CW64" i="3"/>
  <c r="CS64" i="3"/>
  <c r="CK64" i="3"/>
  <c r="CO64" i="3" s="1"/>
  <c r="CU64" i="3"/>
  <c r="CQ64" i="3"/>
  <c r="CV64" i="3"/>
  <c r="CR64" i="3"/>
  <c r="T62" i="3"/>
  <c r="CT58" i="3"/>
  <c r="CP58" i="3"/>
  <c r="CW58" i="3"/>
  <c r="CS58" i="3"/>
  <c r="CK58" i="3"/>
  <c r="CO58" i="3" s="1"/>
  <c r="CV58" i="3"/>
  <c r="CR58" i="3"/>
  <c r="CQ58" i="3"/>
  <c r="CU58" i="3"/>
  <c r="DA70" i="3" l="1"/>
  <c r="DA71" i="3"/>
  <c r="DA64" i="3"/>
  <c r="DE3" i="3" l="1"/>
  <c r="DF3" i="3" s="1"/>
  <c r="DE5" i="3"/>
  <c r="DF5" i="3" s="1"/>
  <c r="DE9" i="3"/>
  <c r="DF9" i="3" s="1"/>
  <c r="DE13" i="3"/>
  <c r="DF13" i="3" s="1"/>
  <c r="DE17" i="3"/>
  <c r="DF17" i="3" s="1"/>
  <c r="DE21" i="3"/>
  <c r="DE25" i="3"/>
  <c r="DE29" i="3"/>
  <c r="DE33" i="3"/>
  <c r="DE37" i="3"/>
  <c r="DF37" i="3" s="1"/>
  <c r="DE41" i="3"/>
  <c r="DF41" i="3" s="1"/>
  <c r="DE45" i="3"/>
  <c r="DF45" i="3" s="1"/>
  <c r="DE49" i="3"/>
  <c r="DF49" i="3" s="1"/>
  <c r="DE4" i="3"/>
  <c r="DE6" i="3"/>
  <c r="DE8" i="3"/>
  <c r="DE10" i="3"/>
  <c r="DE12" i="3"/>
  <c r="DE14" i="3"/>
  <c r="DE16" i="3"/>
  <c r="DF16" i="3" s="1"/>
  <c r="DE18" i="3"/>
  <c r="DE20" i="3"/>
  <c r="DE22" i="3"/>
  <c r="DE24" i="3"/>
  <c r="DF24" i="3" s="1"/>
  <c r="DE26" i="3"/>
  <c r="DE28" i="3"/>
  <c r="DE30" i="3"/>
  <c r="DE32" i="3"/>
  <c r="DE34" i="3"/>
  <c r="DE36" i="3"/>
  <c r="DE38" i="3"/>
  <c r="DE40" i="3"/>
  <c r="DF40" i="3" s="1"/>
  <c r="DE42" i="3"/>
  <c r="DE44" i="3"/>
  <c r="DF44" i="3" s="1"/>
  <c r="DE46" i="3"/>
  <c r="DE48" i="3"/>
  <c r="DE7" i="3"/>
  <c r="DF7" i="3" s="1"/>
  <c r="DE15" i="3"/>
  <c r="DF15" i="3" s="1"/>
  <c r="DE23" i="3"/>
  <c r="DE31" i="3"/>
  <c r="DE39" i="3"/>
  <c r="DE43" i="3"/>
  <c r="DE11" i="3"/>
  <c r="DF11" i="3" s="1"/>
  <c r="DE19" i="3"/>
  <c r="DE27" i="3"/>
  <c r="DF27" i="3" s="1"/>
  <c r="DE35" i="3"/>
  <c r="DF35" i="3" s="1"/>
  <c r="DE47" i="3"/>
  <c r="ED49" i="3"/>
  <c r="ED43" i="3"/>
  <c r="ED37" i="3"/>
  <c r="ED31" i="3"/>
  <c r="ED25" i="3"/>
  <c r="ED19" i="3"/>
  <c r="ED13" i="3"/>
  <c r="ED7" i="3"/>
  <c r="T49" i="3"/>
  <c r="CD52" i="3" s="1"/>
  <c r="CM52" i="3" s="1"/>
  <c r="T43" i="3"/>
  <c r="CD46" i="3" s="1"/>
  <c r="T37" i="3"/>
  <c r="CD40" i="3" s="1"/>
  <c r="CS40" i="3" s="1"/>
  <c r="T31" i="3"/>
  <c r="CD30" i="3"/>
  <c r="T25" i="3"/>
  <c r="T18" i="3"/>
  <c r="T11" i="3"/>
  <c r="CD14" i="3" s="1"/>
  <c r="CU14" i="3" s="1"/>
  <c r="T4" i="3"/>
  <c r="CD7" i="3" s="1"/>
  <c r="CQ7" i="3" s="1"/>
  <c r="DF30" i="3" l="1"/>
  <c r="DF10" i="3"/>
  <c r="DF12" i="3"/>
  <c r="DF38" i="3"/>
  <c r="DF39" i="3"/>
  <c r="DF19" i="3"/>
  <c r="DF32" i="3"/>
  <c r="DF48" i="3"/>
  <c r="DF43" i="3"/>
  <c r="DF4" i="3"/>
  <c r="DF8" i="3"/>
  <c r="DF36" i="3"/>
  <c r="DF20" i="3"/>
  <c r="DF47" i="3"/>
  <c r="CQ14" i="3"/>
  <c r="DF25" i="3"/>
  <c r="DF29" i="3"/>
  <c r="DF31" i="3"/>
  <c r="DF23" i="3"/>
  <c r="DF21" i="3"/>
  <c r="DF28" i="3"/>
  <c r="DF33" i="3"/>
  <c r="DF14" i="3"/>
  <c r="DF26" i="3"/>
  <c r="DF42" i="3"/>
  <c r="T5" i="3"/>
  <c r="DF6" i="3"/>
  <c r="DF18" i="3"/>
  <c r="DF22" i="3"/>
  <c r="DF46" i="3"/>
  <c r="CK40" i="3"/>
  <c r="CO40" i="3" s="1"/>
  <c r="CW7" i="3"/>
  <c r="CS7" i="3"/>
  <c r="CK7" i="3"/>
  <c r="CO7" i="3" s="1"/>
  <c r="CV7" i="3"/>
  <c r="CR7" i="3"/>
  <c r="CN7" i="3"/>
  <c r="CR14" i="3"/>
  <c r="CD21" i="3"/>
  <c r="T19" i="3"/>
  <c r="CL7" i="3"/>
  <c r="CT7" i="3"/>
  <c r="CM7" i="3"/>
  <c r="CU7" i="3"/>
  <c r="CM14" i="3"/>
  <c r="CU46" i="3"/>
  <c r="CQ46" i="3"/>
  <c r="CM46" i="3"/>
  <c r="CT46" i="3"/>
  <c r="CP46" i="3"/>
  <c r="CL46" i="3"/>
  <c r="CW46" i="3"/>
  <c r="CS46" i="3"/>
  <c r="CK46" i="3"/>
  <c r="CO46" i="3" s="1"/>
  <c r="CV46" i="3"/>
  <c r="CR46" i="3"/>
  <c r="CN46" i="3"/>
  <c r="CD28" i="3"/>
  <c r="T26" i="3"/>
  <c r="CP7" i="3"/>
  <c r="CT14" i="3"/>
  <c r="CP14" i="3"/>
  <c r="CL14" i="3"/>
  <c r="CW14" i="3"/>
  <c r="CS14" i="3"/>
  <c r="CK14" i="3"/>
  <c r="CO14" i="3" s="1"/>
  <c r="CN14" i="3"/>
  <c r="CV14" i="3"/>
  <c r="T12" i="3"/>
  <c r="CD34" i="3"/>
  <c r="T32" i="3"/>
  <c r="T38" i="3"/>
  <c r="CV40" i="3"/>
  <c r="CR40" i="3"/>
  <c r="CN40" i="3"/>
  <c r="CU40" i="3"/>
  <c r="CQ40" i="3"/>
  <c r="CM40" i="3"/>
  <c r="CT40" i="3"/>
  <c r="CP40" i="3"/>
  <c r="CL40" i="3"/>
  <c r="CW40" i="3"/>
  <c r="T44" i="3"/>
  <c r="CT52" i="3"/>
  <c r="CP52" i="3"/>
  <c r="CL52" i="3"/>
  <c r="CW52" i="3"/>
  <c r="CS52" i="3"/>
  <c r="CK52" i="3"/>
  <c r="CO52" i="3" s="1"/>
  <c r="CV52" i="3"/>
  <c r="CR52" i="3"/>
  <c r="CN52" i="3"/>
  <c r="CQ52" i="3"/>
  <c r="T50" i="3"/>
  <c r="CU52" i="3"/>
  <c r="DF34" i="3" l="1"/>
  <c r="CU21" i="3"/>
  <c r="CQ21" i="3"/>
  <c r="CM21" i="3"/>
  <c r="CT21" i="3"/>
  <c r="CP21" i="3"/>
  <c r="CL21" i="3"/>
  <c r="CW21" i="3"/>
  <c r="CS21" i="3"/>
  <c r="CK21" i="3"/>
  <c r="CO21" i="3" s="1"/>
  <c r="CV21" i="3"/>
  <c r="CR21" i="3"/>
  <c r="CN21" i="3"/>
  <c r="CT28" i="3"/>
  <c r="CP28" i="3"/>
  <c r="CL28" i="3"/>
  <c r="CW29" i="3"/>
  <c r="CW28" i="3"/>
  <c r="CS28" i="3"/>
  <c r="CK28" i="3"/>
  <c r="CO28" i="3" s="1"/>
  <c r="CR28" i="3"/>
  <c r="CQ28" i="3"/>
  <c r="CV28" i="3"/>
  <c r="CN28" i="3"/>
  <c r="CM28" i="3"/>
  <c r="CU28" i="3"/>
  <c r="CV34" i="3"/>
  <c r="CR34" i="3"/>
  <c r="CN34" i="3"/>
  <c r="CU34" i="3"/>
  <c r="CQ34" i="3"/>
  <c r="CM34" i="3"/>
  <c r="CT34" i="3"/>
  <c r="CP34" i="3"/>
  <c r="CL34" i="3"/>
  <c r="CK34" i="3"/>
  <c r="CO34" i="3" s="1"/>
  <c r="CW34" i="3"/>
  <c r="CS34" i="3"/>
  <c r="EE7" i="3"/>
  <c r="I1" i="4"/>
  <c r="EB70" i="3"/>
  <c r="DZ70" i="3"/>
  <c r="EB69" i="3"/>
  <c r="D66" i="2" s="1"/>
  <c r="DZ69" i="3"/>
  <c r="EB68" i="3"/>
  <c r="DZ68" i="3"/>
  <c r="EB67" i="3"/>
  <c r="DZ67" i="3"/>
  <c r="EB66" i="3"/>
  <c r="DZ66" i="3"/>
  <c r="EB65" i="3"/>
  <c r="DZ65" i="3"/>
  <c r="EB64" i="3"/>
  <c r="DZ64" i="3"/>
  <c r="EB63" i="3"/>
  <c r="DZ63" i="3"/>
  <c r="EB62" i="3"/>
  <c r="DZ62" i="3"/>
  <c r="EB61" i="3"/>
  <c r="DZ61" i="3"/>
  <c r="EB60" i="3"/>
  <c r="DZ60" i="3"/>
  <c r="EB59" i="3"/>
  <c r="DZ59" i="3"/>
  <c r="EB58" i="3"/>
  <c r="DZ58" i="3"/>
  <c r="EB57" i="3"/>
  <c r="DZ57" i="3"/>
  <c r="EB56" i="3"/>
  <c r="DZ56" i="3"/>
  <c r="EB55" i="3"/>
  <c r="DZ55" i="3"/>
  <c r="EB54" i="3"/>
  <c r="D51" i="2" s="1"/>
  <c r="DZ54" i="3"/>
  <c r="EB53" i="3"/>
  <c r="D50" i="2" s="1"/>
  <c r="DZ53" i="3"/>
  <c r="EB52" i="3"/>
  <c r="D49" i="2" s="1"/>
  <c r="DZ52" i="3"/>
  <c r="EB51" i="3"/>
  <c r="D48" i="2" s="1"/>
  <c r="DZ51" i="3"/>
  <c r="EB50" i="3"/>
  <c r="D47" i="2" s="1"/>
  <c r="DZ50" i="3"/>
  <c r="EB49" i="3"/>
  <c r="D46" i="2" s="1"/>
  <c r="DZ49" i="3"/>
  <c r="EB48" i="3"/>
  <c r="D45" i="2" s="1"/>
  <c r="DZ48" i="3"/>
  <c r="EB47" i="3"/>
  <c r="D44" i="2" s="1"/>
  <c r="DZ47" i="3"/>
  <c r="EB46" i="3"/>
  <c r="D43" i="2" s="1"/>
  <c r="DZ46" i="3"/>
  <c r="EB45" i="3"/>
  <c r="D42" i="2" s="1"/>
  <c r="DZ45" i="3"/>
  <c r="EB44" i="3"/>
  <c r="D41" i="2" s="1"/>
  <c r="DZ44" i="3"/>
  <c r="EB43" i="3"/>
  <c r="D40" i="2" s="1"/>
  <c r="DZ43" i="3"/>
  <c r="EB42" i="3"/>
  <c r="D39" i="2" s="1"/>
  <c r="DZ42" i="3"/>
  <c r="EB41" i="3"/>
  <c r="D38" i="2" s="1"/>
  <c r="DZ41" i="3"/>
  <c r="EB40" i="3"/>
  <c r="D37" i="2" s="1"/>
  <c r="DZ40" i="3"/>
  <c r="EB39" i="3"/>
  <c r="D36" i="2" s="1"/>
  <c r="DZ39" i="3"/>
  <c r="EB38" i="3"/>
  <c r="D35" i="2" s="1"/>
  <c r="DZ38" i="3"/>
  <c r="EB37" i="3"/>
  <c r="D34" i="2" s="1"/>
  <c r="DZ37" i="3"/>
  <c r="EB36" i="3"/>
  <c r="D33" i="2" s="1"/>
  <c r="DZ36" i="3"/>
  <c r="EB35" i="3"/>
  <c r="D32" i="2" s="1"/>
  <c r="DZ35" i="3"/>
  <c r="EB34" i="3"/>
  <c r="D31" i="2" s="1"/>
  <c r="DZ34" i="3"/>
  <c r="EB33" i="3"/>
  <c r="D30" i="2" s="1"/>
  <c r="DZ33" i="3"/>
  <c r="EB32" i="3"/>
  <c r="D29" i="2" s="1"/>
  <c r="DZ32" i="3"/>
  <c r="EB31" i="3"/>
  <c r="D28" i="2" s="1"/>
  <c r="DZ31" i="3"/>
  <c r="EB30" i="3"/>
  <c r="D27" i="2" s="1"/>
  <c r="DZ30" i="3"/>
  <c r="EB29" i="3"/>
  <c r="D26" i="2" s="1"/>
  <c r="DZ29" i="3"/>
  <c r="EB28" i="3"/>
  <c r="D25" i="2" s="1"/>
  <c r="DZ28" i="3"/>
  <c r="EB27" i="3"/>
  <c r="D24" i="2" s="1"/>
  <c r="DZ27" i="3"/>
  <c r="EB26" i="3"/>
  <c r="D23" i="2" s="1"/>
  <c r="DZ26" i="3"/>
  <c r="EB25" i="3"/>
  <c r="D22" i="2" s="1"/>
  <c r="DZ25" i="3"/>
  <c r="EB24" i="3"/>
  <c r="D21" i="2" s="1"/>
  <c r="DZ24" i="3"/>
  <c r="EB23" i="3"/>
  <c r="D20" i="2" s="1"/>
  <c r="DZ23" i="3"/>
  <c r="EB22" i="3"/>
  <c r="D19" i="2" s="1"/>
  <c r="DZ22" i="3"/>
  <c r="EB21" i="3"/>
  <c r="D18" i="2" s="1"/>
  <c r="DZ21" i="3"/>
  <c r="EB20" i="3"/>
  <c r="D17" i="2" s="1"/>
  <c r="DZ20" i="3"/>
  <c r="EB19" i="3"/>
  <c r="D16" i="2" s="1"/>
  <c r="DZ19" i="3"/>
  <c r="EB18" i="3"/>
  <c r="D15" i="2" s="1"/>
  <c r="DZ18" i="3"/>
  <c r="EB17" i="3"/>
  <c r="D14" i="2" s="1"/>
  <c r="DZ17" i="3"/>
  <c r="EB16" i="3"/>
  <c r="D13" i="2" s="1"/>
  <c r="DZ16" i="3"/>
  <c r="EB15" i="3"/>
  <c r="D12" i="2" s="1"/>
  <c r="DZ15" i="3"/>
  <c r="EB14" i="3"/>
  <c r="D11" i="2" s="1"/>
  <c r="DZ14" i="3"/>
  <c r="EB13" i="3"/>
  <c r="D10" i="2" s="1"/>
  <c r="DZ13" i="3"/>
  <c r="EB12" i="3"/>
  <c r="D9" i="2" s="1"/>
  <c r="DZ12" i="3"/>
  <c r="EB11" i="3"/>
  <c r="D8" i="2" s="1"/>
  <c r="DZ11" i="3"/>
  <c r="EB10" i="3"/>
  <c r="D7" i="2" s="1"/>
  <c r="DZ10" i="3"/>
  <c r="EB9" i="3"/>
  <c r="D6" i="2" s="1"/>
  <c r="DZ9" i="3"/>
  <c r="EB8" i="3"/>
  <c r="D5" i="2" s="1"/>
  <c r="DZ8" i="3"/>
  <c r="EB7" i="3"/>
  <c r="D4" i="2" s="1"/>
  <c r="DZ7" i="3"/>
  <c r="DX7" i="3"/>
  <c r="S64" i="2" l="1"/>
  <c r="S58" i="2"/>
  <c r="S70" i="2"/>
  <c r="S52" i="2"/>
  <c r="D52" i="2"/>
  <c r="D54" i="2"/>
  <c r="D56" i="2"/>
  <c r="D58" i="2"/>
  <c r="D60" i="2"/>
  <c r="D62" i="2"/>
  <c r="D64" i="2"/>
  <c r="D53" i="2"/>
  <c r="D55" i="2"/>
  <c r="D57" i="2"/>
  <c r="D59" i="2"/>
  <c r="D61" i="2"/>
  <c r="D63" i="2"/>
  <c r="D65" i="2"/>
  <c r="D67" i="2"/>
  <c r="H17" i="2"/>
  <c r="H13" i="2"/>
  <c r="H9" i="2"/>
  <c r="M6" i="2"/>
  <c r="M9" i="2"/>
  <c r="H6" i="2"/>
  <c r="M17" i="2"/>
  <c r="M13" i="2"/>
  <c r="EE32" i="3"/>
  <c r="DS32" i="3" s="1"/>
  <c r="S3" i="2"/>
  <c r="S28" i="2"/>
  <c r="S4" i="2"/>
  <c r="S46" i="2"/>
  <c r="S22" i="2"/>
  <c r="S40" i="2"/>
  <c r="S16" i="2"/>
  <c r="S34" i="2"/>
  <c r="S10" i="2"/>
  <c r="C4" i="3"/>
  <c r="DS7" i="3"/>
  <c r="J3" i="2"/>
  <c r="D3" i="2"/>
  <c r="M3" i="2"/>
  <c r="H3" i="2"/>
  <c r="Q3" i="2"/>
  <c r="S100" i="2"/>
  <c r="EE35" i="3"/>
  <c r="EE12" i="3"/>
  <c r="EE17" i="3"/>
  <c r="EE22" i="3"/>
  <c r="EE27" i="3"/>
  <c r="EE28" i="3"/>
  <c r="EE8" i="3"/>
  <c r="EE18" i="3"/>
  <c r="EE23" i="3"/>
  <c r="EE24" i="3"/>
  <c r="EE29" i="3"/>
  <c r="EE38" i="3"/>
  <c r="EE13" i="3"/>
  <c r="EE14" i="3"/>
  <c r="EE19" i="3"/>
  <c r="EE20" i="3"/>
  <c r="EE25" i="3"/>
  <c r="EE30" i="3"/>
  <c r="EE33" i="3"/>
  <c r="EE37" i="3"/>
  <c r="EE10" i="3"/>
  <c r="EE9" i="3"/>
  <c r="EE11" i="3"/>
  <c r="EE15" i="3"/>
  <c r="EE16" i="3"/>
  <c r="EE21" i="3"/>
  <c r="EE26" i="3"/>
  <c r="EE31" i="3"/>
  <c r="EE34" i="3"/>
  <c r="EE36" i="3"/>
  <c r="C44" i="3" l="1"/>
  <c r="H58" i="2"/>
  <c r="M37" i="2"/>
  <c r="DD36" i="3" s="1"/>
  <c r="M29" i="2"/>
  <c r="DD28" i="3" s="1"/>
  <c r="H55" i="2"/>
  <c r="H62" i="2"/>
  <c r="H34" i="2"/>
  <c r="M40" i="2"/>
  <c r="DD39" i="3" s="1"/>
  <c r="H68" i="2"/>
  <c r="M63" i="2"/>
  <c r="DD62" i="3" s="1"/>
  <c r="M35" i="2"/>
  <c r="DD34" i="3" s="1"/>
  <c r="H41" i="2"/>
  <c r="M69" i="2"/>
  <c r="DD68" i="3" s="1"/>
  <c r="M54" i="2"/>
  <c r="DD53" i="3" s="1"/>
  <c r="H30" i="2"/>
  <c r="H36" i="2"/>
  <c r="M59" i="2"/>
  <c r="DD58" i="3" s="1"/>
  <c r="DD6" i="3"/>
  <c r="DD20" i="3"/>
  <c r="DA38" i="3"/>
  <c r="DD43" i="3"/>
  <c r="DD29" i="3"/>
  <c r="DA13" i="3"/>
  <c r="DD7" i="3"/>
  <c r="DD15" i="3"/>
  <c r="DA48" i="3"/>
  <c r="DD31" i="3"/>
  <c r="DA4" i="3"/>
  <c r="DA26" i="3"/>
  <c r="DD40" i="3"/>
  <c r="DA12" i="3"/>
  <c r="DA30" i="3"/>
  <c r="DD45" i="3"/>
  <c r="DD12" i="3"/>
  <c r="DA46" i="3"/>
  <c r="DA7" i="3"/>
  <c r="DD22" i="3"/>
  <c r="DA15" i="3"/>
  <c r="DD47" i="3"/>
  <c r="DA34" i="3"/>
  <c r="DD14" i="3"/>
  <c r="DA45" i="3"/>
  <c r="DA28" i="3"/>
  <c r="DD9" i="3"/>
  <c r="DA23" i="3"/>
  <c r="DD17" i="3"/>
  <c r="DA50" i="3"/>
  <c r="DA6" i="3"/>
  <c r="DA19" i="3"/>
  <c r="DD37" i="3"/>
  <c r="DA14" i="3"/>
  <c r="DD46" i="3"/>
  <c r="DD30" i="3"/>
  <c r="DA5" i="3"/>
  <c r="DD35" i="3"/>
  <c r="DA22" i="3"/>
  <c r="DD8" i="3"/>
  <c r="DA25" i="3"/>
  <c r="DA41" i="3"/>
  <c r="DD16" i="3"/>
  <c r="DD33" i="3"/>
  <c r="DA49" i="3"/>
  <c r="DD26" i="3"/>
  <c r="DA9" i="3"/>
  <c r="DD32" i="3"/>
  <c r="DD49" i="3"/>
  <c r="DA17" i="3"/>
  <c r="DD3" i="3"/>
  <c r="DA20" i="3"/>
  <c r="DA37" i="3"/>
  <c r="DD11" i="3"/>
  <c r="DD27" i="3"/>
  <c r="DA43" i="3"/>
  <c r="DD10" i="3"/>
  <c r="DD25" i="3"/>
  <c r="DA42" i="3"/>
  <c r="DA8" i="3"/>
  <c r="DD24" i="3"/>
  <c r="DD42" i="3"/>
  <c r="DA16" i="3"/>
  <c r="DA32" i="3"/>
  <c r="DA3" i="3"/>
  <c r="DD38" i="3"/>
  <c r="DD19" i="3"/>
  <c r="DA11" i="3"/>
  <c r="DD44" i="3"/>
  <c r="DD4" i="3"/>
  <c r="DD23" i="3"/>
  <c r="DA39" i="3"/>
  <c r="DD5" i="3"/>
  <c r="DD21" i="3"/>
  <c r="DA36" i="3"/>
  <c r="DD13" i="3"/>
  <c r="DA44" i="3"/>
  <c r="DA27" i="3"/>
  <c r="DD18" i="3"/>
  <c r="DA31" i="3"/>
  <c r="DA47" i="3"/>
  <c r="DA10" i="3"/>
  <c r="DA24" i="3"/>
  <c r="DD41" i="3"/>
  <c r="DA18" i="3"/>
  <c r="DD48" i="3"/>
  <c r="C18" i="3"/>
  <c r="DS15" i="3"/>
  <c r="C33" i="3"/>
  <c r="DS25" i="3"/>
  <c r="C32" i="3"/>
  <c r="DS24" i="3"/>
  <c r="DS26" i="3"/>
  <c r="C34" i="3"/>
  <c r="C11" i="3"/>
  <c r="DS11" i="3"/>
  <c r="C26" i="3"/>
  <c r="DS20" i="3"/>
  <c r="C31" i="3"/>
  <c r="DS23" i="3"/>
  <c r="DS27" i="3"/>
  <c r="C37" i="3"/>
  <c r="DS35" i="3"/>
  <c r="C49" i="3"/>
  <c r="C50" i="3"/>
  <c r="DS36" i="3"/>
  <c r="DS33" i="3"/>
  <c r="C45" i="3"/>
  <c r="DS38" i="3"/>
  <c r="C52" i="3"/>
  <c r="DS37" i="3"/>
  <c r="C51" i="3"/>
  <c r="C27" i="3"/>
  <c r="DS21" i="3"/>
  <c r="C6" i="3"/>
  <c r="DS9" i="3"/>
  <c r="C25" i="3"/>
  <c r="DS19" i="3"/>
  <c r="DS18" i="3"/>
  <c r="C21" i="3"/>
  <c r="DS22" i="3"/>
  <c r="C28" i="3"/>
  <c r="DS34" i="3"/>
  <c r="C46" i="3"/>
  <c r="DS16" i="3"/>
  <c r="C19" i="3"/>
  <c r="DS10" i="3"/>
  <c r="C7" i="3"/>
  <c r="DS30" i="3"/>
  <c r="C40" i="3"/>
  <c r="DS14" i="3"/>
  <c r="C14" i="3"/>
  <c r="C39" i="3"/>
  <c r="DS29" i="3"/>
  <c r="C5" i="3"/>
  <c r="DS8" i="3"/>
  <c r="C20" i="3"/>
  <c r="DS17" i="3"/>
  <c r="C43" i="3"/>
  <c r="DS31" i="3"/>
  <c r="DS13" i="3"/>
  <c r="C13" i="3"/>
  <c r="C38" i="3"/>
  <c r="DS28" i="3"/>
  <c r="C12" i="3"/>
  <c r="DS12" i="3"/>
  <c r="DA40" i="3" l="1"/>
  <c r="DA33" i="3"/>
  <c r="DA54" i="3"/>
  <c r="DA29" i="3"/>
  <c r="DA67" i="3"/>
  <c r="DA61" i="3"/>
  <c r="DA57" i="3"/>
  <c r="DA35" i="3"/>
  <c r="H74" i="3" l="1"/>
  <c r="E75" i="3"/>
  <c r="CH76" i="3"/>
  <c r="G76" i="3"/>
  <c r="D76" i="3"/>
  <c r="D61" i="3"/>
  <c r="H75" i="3"/>
  <c r="D73" i="3"/>
  <c r="CI76" i="3"/>
  <c r="F11" i="3"/>
  <c r="H73" i="3"/>
  <c r="G75" i="3"/>
  <c r="F76" i="3"/>
  <c r="G73" i="3"/>
  <c r="E76" i="3"/>
  <c r="D75" i="3"/>
  <c r="CE76" i="3"/>
  <c r="CF76" i="3"/>
  <c r="CG76" i="3"/>
  <c r="F75" i="3"/>
  <c r="D74" i="3"/>
  <c r="H70" i="3"/>
  <c r="H76" i="3"/>
  <c r="F74" i="3"/>
  <c r="F73" i="3"/>
  <c r="E73" i="3"/>
  <c r="G74" i="3"/>
  <c r="E74" i="3"/>
  <c r="D68" i="3"/>
  <c r="CE64" i="3"/>
  <c r="D38" i="3"/>
  <c r="D62" i="3"/>
  <c r="F44" i="3"/>
  <c r="D37" i="3"/>
  <c r="H7" i="3"/>
  <c r="E18" i="3"/>
  <c r="F61" i="3"/>
  <c r="F33" i="3"/>
  <c r="E46" i="3"/>
  <c r="E67" i="3"/>
  <c r="G56" i="3"/>
  <c r="D57" i="3"/>
  <c r="CG58" i="3"/>
  <c r="H45" i="3"/>
  <c r="H31" i="3"/>
  <c r="H58" i="3"/>
  <c r="H67" i="3"/>
  <c r="H56" i="3"/>
  <c r="G61" i="3"/>
  <c r="G70" i="3"/>
  <c r="I70" i="3" s="1"/>
  <c r="D67" i="3"/>
  <c r="G58" i="3"/>
  <c r="F64" i="3"/>
  <c r="E68" i="3"/>
  <c r="CG70" i="3"/>
  <c r="CF58" i="3"/>
  <c r="F62" i="3"/>
  <c r="CE58" i="3"/>
  <c r="CG64" i="3"/>
  <c r="E58" i="3"/>
  <c r="E61" i="3"/>
  <c r="F70" i="3"/>
  <c r="CH58" i="3"/>
  <c r="CF64" i="3"/>
  <c r="D69" i="3"/>
  <c r="F67" i="3"/>
  <c r="G57" i="3"/>
  <c r="G67" i="3"/>
  <c r="G63" i="3"/>
  <c r="D63" i="3"/>
  <c r="H61" i="3"/>
  <c r="H55" i="3"/>
  <c r="H63" i="3"/>
  <c r="CH70" i="3"/>
  <c r="F56" i="3"/>
  <c r="CH64" i="3"/>
  <c r="G62" i="3"/>
  <c r="CE70" i="3"/>
  <c r="CI70" i="3"/>
  <c r="F63" i="3"/>
  <c r="E64" i="3"/>
  <c r="E62" i="3"/>
  <c r="G55" i="3"/>
  <c r="G68" i="3"/>
  <c r="E55" i="3"/>
  <c r="F69" i="3"/>
  <c r="E56" i="3"/>
  <c r="D55" i="3"/>
  <c r="G69" i="3"/>
  <c r="H68" i="3"/>
  <c r="H64" i="3"/>
  <c r="H69" i="3"/>
  <c r="D64" i="3"/>
  <c r="CF70" i="3"/>
  <c r="CI58" i="3"/>
  <c r="CI64" i="3"/>
  <c r="F68" i="3"/>
  <c r="E63" i="3"/>
  <c r="F58" i="3"/>
  <c r="G64" i="3"/>
  <c r="E70" i="3"/>
  <c r="D56" i="3"/>
  <c r="E69" i="3"/>
  <c r="F55" i="3"/>
  <c r="E57" i="3"/>
  <c r="D70" i="3"/>
  <c r="D58" i="3"/>
  <c r="F57" i="3"/>
  <c r="H62" i="3"/>
  <c r="H57" i="3"/>
  <c r="F32" i="3"/>
  <c r="G11" i="3"/>
  <c r="D21" i="3"/>
  <c r="H46" i="3"/>
  <c r="E14" i="3"/>
  <c r="E49" i="3"/>
  <c r="E27" i="3"/>
  <c r="D28" i="3"/>
  <c r="F5" i="3"/>
  <c r="D32" i="3"/>
  <c r="H11" i="3"/>
  <c r="F21" i="3"/>
  <c r="F7" i="3"/>
  <c r="H14" i="3"/>
  <c r="F49" i="3"/>
  <c r="F27" i="3"/>
  <c r="E19" i="3"/>
  <c r="E44" i="3"/>
  <c r="D18" i="3"/>
  <c r="H32" i="3"/>
  <c r="F31" i="3"/>
  <c r="F46" i="3"/>
  <c r="G7" i="3"/>
  <c r="E38" i="3"/>
  <c r="F45" i="3"/>
  <c r="H20" i="3"/>
  <c r="D34" i="3"/>
  <c r="CF21" i="3"/>
  <c r="E32" i="3"/>
  <c r="D11" i="3"/>
  <c r="E31" i="3"/>
  <c r="G31" i="3"/>
  <c r="H21" i="3"/>
  <c r="D46" i="3"/>
  <c r="E7" i="3"/>
  <c r="D14" i="3"/>
  <c r="G14" i="3"/>
  <c r="G38" i="3"/>
  <c r="G49" i="3"/>
  <c r="G45" i="3"/>
  <c r="F39" i="3"/>
  <c r="F26" i="3"/>
  <c r="D40" i="3"/>
  <c r="H52" i="3"/>
  <c r="CI28" i="3"/>
  <c r="G18" i="3"/>
  <c r="F18" i="3"/>
  <c r="H18" i="3"/>
  <c r="G32" i="3"/>
  <c r="E11" i="3"/>
  <c r="D31" i="3"/>
  <c r="J31" i="3" s="1"/>
  <c r="E21" i="3"/>
  <c r="G21" i="3"/>
  <c r="I21" i="3" s="1"/>
  <c r="G46" i="3"/>
  <c r="D7" i="3"/>
  <c r="J7" i="3" s="1"/>
  <c r="F14" i="3"/>
  <c r="F38" i="3"/>
  <c r="H38" i="3"/>
  <c r="H49" i="3"/>
  <c r="H51" i="3"/>
  <c r="G39" i="3"/>
  <c r="G26" i="3"/>
  <c r="H13" i="3"/>
  <c r="G6" i="3"/>
  <c r="CH46" i="3"/>
  <c r="F51" i="3"/>
  <c r="F25" i="3"/>
  <c r="D12" i="3"/>
  <c r="G50" i="3"/>
  <c r="G40" i="3"/>
  <c r="D52" i="3"/>
  <c r="D43" i="3"/>
  <c r="CI14" i="3"/>
  <c r="CG52" i="3"/>
  <c r="CI46" i="3"/>
  <c r="F4" i="3"/>
  <c r="CI40" i="3"/>
  <c r="CF40" i="3"/>
  <c r="D49" i="3"/>
  <c r="D45" i="3"/>
  <c r="E51" i="3"/>
  <c r="G51" i="3"/>
  <c r="H27" i="3"/>
  <c r="E25" i="3"/>
  <c r="D39" i="3"/>
  <c r="F20" i="3"/>
  <c r="G20" i="3"/>
  <c r="G12" i="3"/>
  <c r="D33" i="3"/>
  <c r="D26" i="3"/>
  <c r="F50" i="3"/>
  <c r="H50" i="3"/>
  <c r="G28" i="3"/>
  <c r="F19" i="3"/>
  <c r="F40" i="3"/>
  <c r="E13" i="3"/>
  <c r="G13" i="3"/>
  <c r="H34" i="3"/>
  <c r="F37" i="3"/>
  <c r="E52" i="3"/>
  <c r="E6" i="3"/>
  <c r="H6" i="3"/>
  <c r="G5" i="3"/>
  <c r="F43" i="3"/>
  <c r="D4" i="3"/>
  <c r="CH7" i="3"/>
  <c r="CF28" i="3"/>
  <c r="CH52" i="3"/>
  <c r="CG40" i="3"/>
  <c r="CH14" i="3"/>
  <c r="CE40" i="3"/>
  <c r="CI21" i="3"/>
  <c r="CG46" i="3"/>
  <c r="CE28" i="3"/>
  <c r="D44" i="3"/>
  <c r="E45" i="3"/>
  <c r="D51" i="3"/>
  <c r="J51" i="3" s="1"/>
  <c r="D27" i="3"/>
  <c r="G27" i="3"/>
  <c r="I27" i="3" s="1"/>
  <c r="H25" i="3"/>
  <c r="E39" i="3"/>
  <c r="D20" i="3"/>
  <c r="F12" i="3"/>
  <c r="H12" i="3"/>
  <c r="H33" i="3"/>
  <c r="E26" i="3"/>
  <c r="E50" i="3"/>
  <c r="E28" i="3"/>
  <c r="H28" i="3"/>
  <c r="I28" i="3" s="1"/>
  <c r="G19" i="3"/>
  <c r="E40" i="3"/>
  <c r="F13" i="3"/>
  <c r="F34" i="3"/>
  <c r="G34" i="3"/>
  <c r="I34" i="3" s="1"/>
  <c r="G37" i="3"/>
  <c r="F52" i="3"/>
  <c r="D6" i="3"/>
  <c r="D5" i="3"/>
  <c r="H5" i="3"/>
  <c r="H43" i="3"/>
  <c r="CI7" i="3"/>
  <c r="CE21" i="3"/>
  <c r="CI52" i="3"/>
  <c r="CG21" i="3"/>
  <c r="CE14" i="3"/>
  <c r="CH40" i="3"/>
  <c r="CH28" i="3"/>
  <c r="CF46" i="3"/>
  <c r="CG28" i="3"/>
  <c r="CE7" i="3"/>
  <c r="E4" i="3"/>
  <c r="D25" i="3"/>
  <c r="J25" i="3" s="1"/>
  <c r="G25" i="3"/>
  <c r="H39" i="3"/>
  <c r="E20" i="3"/>
  <c r="E12" i="3"/>
  <c r="E33" i="3"/>
  <c r="J33" i="3" s="1"/>
  <c r="G33" i="3"/>
  <c r="H26" i="3"/>
  <c r="D50" i="3"/>
  <c r="F28" i="3"/>
  <c r="D19" i="3"/>
  <c r="H19" i="3"/>
  <c r="H40" i="3"/>
  <c r="D13" i="3"/>
  <c r="E34" i="3"/>
  <c r="E37" i="3"/>
  <c r="H37" i="3"/>
  <c r="G52" i="3"/>
  <c r="F6" i="3"/>
  <c r="E5" i="3"/>
  <c r="E43" i="3"/>
  <c r="G43" i="3"/>
  <c r="CI34" i="3"/>
  <c r="CH34" i="3"/>
  <c r="CF14" i="3"/>
  <c r="CE52" i="3"/>
  <c r="CF7" i="3"/>
  <c r="CG14" i="3"/>
  <c r="CE46" i="3"/>
  <c r="CF52" i="3"/>
  <c r="CG7" i="3"/>
  <c r="CH21" i="3"/>
  <c r="G4" i="3"/>
  <c r="H44" i="3"/>
  <c r="H4" i="3"/>
  <c r="G44" i="3"/>
  <c r="J45" i="3" l="1"/>
  <c r="J6" i="3"/>
  <c r="J37" i="3"/>
  <c r="J39" i="3"/>
  <c r="J46" i="3"/>
  <c r="J75" i="3"/>
  <c r="J61" i="3"/>
  <c r="J14" i="3"/>
  <c r="I74" i="3"/>
  <c r="I45" i="3"/>
  <c r="J55" i="3"/>
  <c r="I76" i="3"/>
  <c r="I64" i="3"/>
  <c r="CJ76" i="3"/>
  <c r="J76" i="3"/>
  <c r="I73" i="3"/>
  <c r="I75" i="3"/>
  <c r="I31" i="3"/>
  <c r="I68" i="3"/>
  <c r="J74" i="3"/>
  <c r="I52" i="3"/>
  <c r="J67" i="3"/>
  <c r="J73" i="3"/>
  <c r="I40" i="3"/>
  <c r="J38" i="3"/>
  <c r="J57" i="3"/>
  <c r="I55" i="3"/>
  <c r="I58" i="3"/>
  <c r="I7" i="3"/>
  <c r="J18" i="3"/>
  <c r="I5" i="3"/>
  <c r="J56" i="3"/>
  <c r="I20" i="3"/>
  <c r="I67" i="3"/>
  <c r="J62" i="3"/>
  <c r="I69" i="3"/>
  <c r="I62" i="3"/>
  <c r="CJ70" i="3"/>
  <c r="CJ58" i="3"/>
  <c r="J70" i="3"/>
  <c r="J63" i="3"/>
  <c r="J69" i="3"/>
  <c r="J58" i="3"/>
  <c r="I61" i="3"/>
  <c r="J64" i="3"/>
  <c r="CJ64" i="3"/>
  <c r="I63" i="3"/>
  <c r="I57" i="3"/>
  <c r="I56" i="3"/>
  <c r="J68" i="3"/>
  <c r="I46" i="3"/>
  <c r="J28" i="3"/>
  <c r="I6" i="3"/>
  <c r="I51" i="3"/>
  <c r="CJ28" i="3"/>
  <c r="I11" i="3"/>
  <c r="J49" i="3"/>
  <c r="CJ46" i="3"/>
  <c r="J34" i="3"/>
  <c r="J19" i="3"/>
  <c r="I39" i="3"/>
  <c r="I18" i="3"/>
  <c r="J52" i="3"/>
  <c r="J44" i="3"/>
  <c r="I26" i="3"/>
  <c r="J27" i="3"/>
  <c r="J26" i="3"/>
  <c r="I32" i="3"/>
  <c r="I14" i="3"/>
  <c r="J32" i="3"/>
  <c r="J21" i="3"/>
  <c r="J43" i="3"/>
  <c r="J12" i="3"/>
  <c r="I38" i="3"/>
  <c r="J11" i="3"/>
  <c r="I49" i="3"/>
  <c r="I12" i="3"/>
  <c r="J5" i="3"/>
  <c r="I19" i="3"/>
  <c r="J20" i="3"/>
  <c r="J40" i="3"/>
  <c r="CJ7" i="3"/>
  <c r="I13" i="3"/>
  <c r="CJ14" i="3"/>
  <c r="CJ52" i="3"/>
  <c r="CJ40" i="3"/>
  <c r="I50" i="3"/>
  <c r="I37" i="3"/>
  <c r="J50" i="3"/>
  <c r="I25" i="3"/>
  <c r="I43" i="3"/>
  <c r="J13" i="3"/>
  <c r="CJ21" i="3"/>
  <c r="I33" i="3"/>
  <c r="CJ34" i="3"/>
  <c r="I44" i="3"/>
  <c r="J4" i="3"/>
  <c r="I4" i="3"/>
  <c r="L39" i="3" l="1"/>
  <c r="J155" i="3"/>
  <c r="L76" i="3" s="1"/>
  <c r="J154" i="3"/>
  <c r="L75" i="3" s="1"/>
  <c r="J152" i="3"/>
  <c r="L73" i="3" s="1"/>
  <c r="J153" i="3"/>
  <c r="L74" i="3" s="1"/>
  <c r="J143" i="3"/>
  <c r="J148" i="3"/>
  <c r="J142" i="3"/>
  <c r="J149" i="3"/>
  <c r="J141" i="3"/>
  <c r="J146" i="3"/>
  <c r="J140" i="3"/>
  <c r="J147" i="3"/>
  <c r="L57" i="3"/>
  <c r="L67" i="3"/>
  <c r="J136" i="3"/>
  <c r="L56" i="3"/>
  <c r="L61" i="3"/>
  <c r="J135" i="3"/>
  <c r="L55" i="3"/>
  <c r="L68" i="3"/>
  <c r="L64" i="3"/>
  <c r="L34" i="3"/>
  <c r="L69" i="3"/>
  <c r="J137" i="3"/>
  <c r="L63" i="3"/>
  <c r="L62" i="3"/>
  <c r="L70" i="3"/>
  <c r="J134" i="3"/>
  <c r="L58" i="3"/>
  <c r="L45" i="3"/>
  <c r="L40" i="3"/>
  <c r="L37" i="3"/>
  <c r="L27" i="3"/>
  <c r="L38" i="3"/>
  <c r="J104" i="3"/>
  <c r="L26" i="3"/>
  <c r="L33" i="3"/>
  <c r="L25" i="3"/>
  <c r="L28" i="3"/>
  <c r="L31" i="3"/>
  <c r="L43" i="3"/>
  <c r="L44" i="3"/>
  <c r="L46" i="3"/>
  <c r="J105" i="3"/>
  <c r="L32" i="3"/>
  <c r="J113" i="3"/>
  <c r="J119" i="3"/>
  <c r="J99" i="3"/>
  <c r="L20" i="3" s="1"/>
  <c r="J98" i="3"/>
  <c r="L19" i="3" s="1"/>
  <c r="J92" i="3"/>
  <c r="J97" i="3"/>
  <c r="L18" i="3" s="1"/>
  <c r="J100" i="3"/>
  <c r="L21" i="3" s="1"/>
  <c r="J111" i="3"/>
  <c r="J116" i="3"/>
  <c r="J124" i="3"/>
  <c r="L49" i="3"/>
  <c r="J129" i="3"/>
  <c r="L50" i="3"/>
  <c r="L52" i="3"/>
  <c r="J128" i="3"/>
  <c r="J131" i="3"/>
  <c r="L51" i="3"/>
  <c r="J118" i="3"/>
  <c r="J91" i="3"/>
  <c r="J106" i="3"/>
  <c r="J130" i="3"/>
  <c r="J107" i="3"/>
  <c r="L14" i="3"/>
  <c r="J117" i="3"/>
  <c r="L13" i="3"/>
  <c r="J123" i="3"/>
  <c r="J90" i="3"/>
  <c r="L12" i="3"/>
  <c r="J93" i="3"/>
  <c r="L11" i="3"/>
  <c r="J110" i="3"/>
  <c r="J112" i="3"/>
  <c r="J86" i="3"/>
  <c r="L7" i="3" s="1"/>
  <c r="J125" i="3"/>
  <c r="J122" i="3"/>
  <c r="J83" i="3"/>
  <c r="L4" i="3" s="1"/>
  <c r="J84" i="3"/>
  <c r="L5" i="3" s="1"/>
  <c r="J85" i="3"/>
  <c r="L6" i="3" s="1"/>
  <c r="N12" i="3" l="1"/>
  <c r="N11" i="3"/>
  <c r="N13" i="3"/>
  <c r="N14" i="3"/>
  <c r="N56" i="3"/>
  <c r="N57" i="3"/>
  <c r="N55" i="3"/>
  <c r="N58" i="3"/>
  <c r="N74" i="3"/>
  <c r="N73" i="3"/>
  <c r="N76" i="3"/>
  <c r="N75" i="3"/>
  <c r="N26" i="3"/>
  <c r="N27" i="3"/>
  <c r="N25" i="3"/>
  <c r="N28" i="3"/>
  <c r="N68" i="3"/>
  <c r="N67" i="3"/>
  <c r="N70" i="3"/>
  <c r="N69" i="3"/>
  <c r="N19" i="3"/>
  <c r="N18" i="3"/>
  <c r="N21" i="3"/>
  <c r="N20" i="3"/>
  <c r="N5" i="3"/>
  <c r="N6" i="3"/>
  <c r="N4" i="3"/>
  <c r="N7" i="3"/>
  <c r="N44" i="3"/>
  <c r="N45" i="3"/>
  <c r="N43" i="3"/>
  <c r="O44" i="3" s="1"/>
  <c r="N46" i="3"/>
  <c r="N62" i="3"/>
  <c r="N61" i="3"/>
  <c r="N64" i="3"/>
  <c r="N63" i="3"/>
  <c r="N50" i="3"/>
  <c r="N49" i="3"/>
  <c r="N52" i="3"/>
  <c r="N51" i="3"/>
  <c r="N32" i="3"/>
  <c r="N31" i="3"/>
  <c r="N33" i="3"/>
  <c r="N34" i="3"/>
  <c r="N38" i="3"/>
  <c r="N37" i="3"/>
  <c r="N40" i="3"/>
  <c r="N39" i="3"/>
  <c r="O46" i="3" l="1"/>
  <c r="P46" i="3" s="1"/>
  <c r="O32" i="3"/>
  <c r="P32" i="3" s="1"/>
  <c r="O49" i="3"/>
  <c r="P49" i="3" s="1"/>
  <c r="O67" i="3"/>
  <c r="P67" i="3" s="1"/>
  <c r="O52" i="3"/>
  <c r="P52" i="3" s="1"/>
  <c r="O19" i="3"/>
  <c r="P19" i="3" s="1"/>
  <c r="O27" i="3"/>
  <c r="P27" i="3" s="1"/>
  <c r="O14" i="3"/>
  <c r="P14" i="3" s="1"/>
  <c r="P44" i="3"/>
  <c r="O5" i="3"/>
  <c r="P5" i="3" s="1"/>
  <c r="O26" i="3"/>
  <c r="P26" i="3" s="1"/>
  <c r="O55" i="3"/>
  <c r="P55" i="3" s="1"/>
  <c r="O12" i="3"/>
  <c r="P12" i="3" s="1"/>
  <c r="O40" i="3"/>
  <c r="P40" i="3" s="1"/>
  <c r="O13" i="3"/>
  <c r="P13" i="3" s="1"/>
  <c r="O74" i="3"/>
  <c r="P74" i="3" s="1"/>
  <c r="O73" i="3"/>
  <c r="P73" i="3" s="1"/>
  <c r="O75" i="3"/>
  <c r="P75" i="3" s="1"/>
  <c r="O70" i="3"/>
  <c r="P70" i="3" s="1"/>
  <c r="O64" i="3"/>
  <c r="P64" i="3" s="1"/>
  <c r="S61" i="3" s="1"/>
  <c r="O63" i="3"/>
  <c r="P63" i="3" s="1"/>
  <c r="O56" i="3"/>
  <c r="P56" i="3" s="1"/>
  <c r="O57" i="3"/>
  <c r="P57" i="3" s="1"/>
  <c r="O58" i="3"/>
  <c r="P58" i="3" s="1"/>
  <c r="S55" i="3" s="1"/>
  <c r="S56" i="3" s="1"/>
  <c r="BJ58" i="3" s="1"/>
  <c r="O43" i="3"/>
  <c r="P43" i="3" s="1"/>
  <c r="O34" i="3"/>
  <c r="P34" i="3" s="1"/>
  <c r="O25" i="3"/>
  <c r="P25" i="3" s="1"/>
  <c r="O28" i="3"/>
  <c r="P28" i="3" s="1"/>
  <c r="S25" i="3" s="1"/>
  <c r="S26" i="3" s="1"/>
  <c r="S27" i="3" s="1"/>
  <c r="O18" i="3"/>
  <c r="P18" i="3" s="1"/>
  <c r="O20" i="3"/>
  <c r="P20" i="3" s="1"/>
  <c r="R18" i="3" s="1"/>
  <c r="R19" i="3" s="1"/>
  <c r="O6" i="3"/>
  <c r="P6" i="3" s="1"/>
  <c r="O7" i="3"/>
  <c r="P7" i="3" s="1"/>
  <c r="S4" i="3" s="1"/>
  <c r="S5" i="3" s="1"/>
  <c r="BJ7" i="3" s="1"/>
  <c r="BR7" i="3" s="1"/>
  <c r="O50" i="3"/>
  <c r="P50" i="3" s="1"/>
  <c r="O61" i="3"/>
  <c r="P61" i="3" s="1"/>
  <c r="O38" i="3"/>
  <c r="P38" i="3" s="1"/>
  <c r="O31" i="3"/>
  <c r="P31" i="3" s="1"/>
  <c r="O45" i="3"/>
  <c r="P45" i="3" s="1"/>
  <c r="R43" i="3" s="1"/>
  <c r="AP44" i="3" s="1"/>
  <c r="AY44" i="3" s="1"/>
  <c r="O37" i="3"/>
  <c r="P37" i="3" s="1"/>
  <c r="O4" i="3"/>
  <c r="P4" i="3" s="1"/>
  <c r="O39" i="3"/>
  <c r="P39" i="3" s="1"/>
  <c r="R37" i="3" s="1"/>
  <c r="AP38" i="3" s="1"/>
  <c r="O51" i="3"/>
  <c r="P51" i="3" s="1"/>
  <c r="R49" i="3" s="1"/>
  <c r="R50" i="3" s="1"/>
  <c r="O62" i="3"/>
  <c r="P62" i="3" s="1"/>
  <c r="Q61" i="3" s="1"/>
  <c r="V61" i="3" s="1"/>
  <c r="O21" i="3"/>
  <c r="P21" i="3" s="1"/>
  <c r="O68" i="3"/>
  <c r="P68" i="3" s="1"/>
  <c r="O76" i="3"/>
  <c r="P76" i="3" s="1"/>
  <c r="O11" i="3"/>
  <c r="P11" i="3" s="1"/>
  <c r="O33" i="3"/>
  <c r="P33" i="3" s="1"/>
  <c r="O69" i="3"/>
  <c r="P69" i="3" s="1"/>
  <c r="R67" i="3" s="1"/>
  <c r="AP68" i="3" s="1"/>
  <c r="BH68" i="3" s="1"/>
  <c r="Q67" i="3" l="1"/>
  <c r="V67" i="3" s="1"/>
  <c r="AF67" i="3" s="1"/>
  <c r="R51" i="3"/>
  <c r="R52" i="3" s="1"/>
  <c r="S49" i="3"/>
  <c r="BJ51" i="3" s="1"/>
  <c r="BS51" i="3" s="1"/>
  <c r="S18" i="3"/>
  <c r="S19" i="3" s="1"/>
  <c r="S20" i="3" s="1"/>
  <c r="Q49" i="3"/>
  <c r="Q50" i="3" s="1"/>
  <c r="V50" i="3" s="1"/>
  <c r="R31" i="3"/>
  <c r="R32" i="3" s="1"/>
  <c r="AP33" i="3" s="1"/>
  <c r="AX33" i="3" s="1"/>
  <c r="R61" i="3"/>
  <c r="R62" i="3" s="1"/>
  <c r="AP63" i="3" s="1"/>
  <c r="BH63" i="3" s="1"/>
  <c r="R4" i="3"/>
  <c r="AP5" i="3" s="1"/>
  <c r="AX5" i="3" s="1"/>
  <c r="S73" i="3"/>
  <c r="S74" i="3" s="1"/>
  <c r="BJ76" i="3" s="1"/>
  <c r="R25" i="3"/>
  <c r="R26" i="3" s="1"/>
  <c r="AP27" i="3" s="1"/>
  <c r="AY27" i="3" s="1"/>
  <c r="R11" i="3"/>
  <c r="R12" i="3" s="1"/>
  <c r="AP13" i="3" s="1"/>
  <c r="AZ13" i="3" s="1"/>
  <c r="S11" i="3"/>
  <c r="BJ13" i="3" s="1"/>
  <c r="BT13" i="3" s="1"/>
  <c r="R55" i="3"/>
  <c r="AP56" i="3" s="1"/>
  <c r="R73" i="3"/>
  <c r="AP74" i="3" s="1"/>
  <c r="S67" i="3"/>
  <c r="S68" i="3" s="1"/>
  <c r="S69" i="3" s="1"/>
  <c r="S31" i="3"/>
  <c r="S32" i="3" s="1"/>
  <c r="BJ34" i="3" s="1"/>
  <c r="BT34" i="3" s="1"/>
  <c r="S37" i="3"/>
  <c r="BJ39" i="3" s="1"/>
  <c r="BR39" i="3" s="1"/>
  <c r="S43" i="3"/>
  <c r="S44" i="3" s="1"/>
  <c r="Q73" i="3"/>
  <c r="Q74" i="3" s="1"/>
  <c r="Q75" i="3" s="1"/>
  <c r="Q55" i="3"/>
  <c r="Q56" i="3" s="1"/>
  <c r="V56" i="3" s="1"/>
  <c r="Q4" i="3"/>
  <c r="V4" i="3" s="1"/>
  <c r="AD4" i="3" s="1"/>
  <c r="Q25" i="3"/>
  <c r="V25" i="3" s="1"/>
  <c r="AF25" i="3" s="1"/>
  <c r="Q37" i="3"/>
  <c r="V37" i="3" s="1"/>
  <c r="AD37" i="3" s="1"/>
  <c r="Q31" i="3"/>
  <c r="V31" i="3" s="1"/>
  <c r="AF31" i="3" s="1"/>
  <c r="Q43" i="3"/>
  <c r="Q44" i="3" s="1"/>
  <c r="V44" i="3" s="1"/>
  <c r="Q18" i="3"/>
  <c r="Q19" i="3" s="1"/>
  <c r="V19" i="3" s="1"/>
  <c r="AF19" i="3" s="1"/>
  <c r="R20" i="3"/>
  <c r="R21" i="3" s="1"/>
  <c r="R38" i="3"/>
  <c r="R39" i="3" s="1"/>
  <c r="Q68" i="3"/>
  <c r="Q69" i="3" s="1"/>
  <c r="S57" i="3"/>
  <c r="BJ57" i="3"/>
  <c r="BS57" i="3" s="1"/>
  <c r="Q11" i="3"/>
  <c r="V11" i="3" s="1"/>
  <c r="AD11" i="3" s="1"/>
  <c r="AX68" i="3"/>
  <c r="AY68" i="3"/>
  <c r="AZ68" i="3"/>
  <c r="R68" i="3"/>
  <c r="R69" i="3" s="1"/>
  <c r="AP70" i="3" s="1"/>
  <c r="BH70" i="3" s="1"/>
  <c r="BS7" i="3"/>
  <c r="BJ6" i="3"/>
  <c r="BS6" i="3" s="1"/>
  <c r="Q62" i="3"/>
  <c r="Q63" i="3" s="1"/>
  <c r="BT7" i="3"/>
  <c r="S6" i="3"/>
  <c r="AE61" i="3"/>
  <c r="AF61" i="3"/>
  <c r="AD61" i="3"/>
  <c r="BJ63" i="3"/>
  <c r="S62" i="3"/>
  <c r="BS58" i="3"/>
  <c r="BT58" i="3"/>
  <c r="BR58" i="3"/>
  <c r="AZ44" i="3"/>
  <c r="AP20" i="3"/>
  <c r="AY20" i="3" s="1"/>
  <c r="BJ28" i="3"/>
  <c r="BT28" i="3" s="1"/>
  <c r="BJ27" i="3"/>
  <c r="BR27" i="3" s="1"/>
  <c r="AX44" i="3"/>
  <c r="R44" i="3"/>
  <c r="R45" i="3" s="1"/>
  <c r="AP46" i="3" s="1"/>
  <c r="BH46" i="3" s="1"/>
  <c r="AP51" i="3"/>
  <c r="AP19" i="3"/>
  <c r="AP50" i="3"/>
  <c r="AZ50" i="3" s="1"/>
  <c r="AX38" i="3"/>
  <c r="AY38" i="3"/>
  <c r="AZ38" i="3"/>
  <c r="BT51" i="3" l="1"/>
  <c r="S50" i="3"/>
  <c r="S51" i="3" s="1"/>
  <c r="AD67" i="3"/>
  <c r="V49" i="3"/>
  <c r="AE49" i="3" s="1"/>
  <c r="AE67" i="3"/>
  <c r="AP52" i="3"/>
  <c r="BH52" i="3" s="1"/>
  <c r="AZ33" i="3"/>
  <c r="Q51" i="3"/>
  <c r="V51" i="3" s="1"/>
  <c r="BR51" i="3"/>
  <c r="BJ20" i="3"/>
  <c r="BR20" i="3" s="1"/>
  <c r="BJ21" i="3"/>
  <c r="BM21" i="3" s="1"/>
  <c r="AY33" i="3"/>
  <c r="AP32" i="3"/>
  <c r="AX32" i="3" s="1"/>
  <c r="AP26" i="3"/>
  <c r="AX26" i="3" s="1"/>
  <c r="AP62" i="3"/>
  <c r="AZ62" i="3" s="1"/>
  <c r="S33" i="3"/>
  <c r="R63" i="3"/>
  <c r="R64" i="3" s="1"/>
  <c r="R33" i="3"/>
  <c r="AP34" i="3" s="1"/>
  <c r="AZ5" i="3"/>
  <c r="AZ56" i="3"/>
  <c r="BH56" i="3"/>
  <c r="AZ51" i="3"/>
  <c r="BH51" i="3"/>
  <c r="AY74" i="3"/>
  <c r="BH74" i="3"/>
  <c r="BS34" i="3"/>
  <c r="BJ75" i="3"/>
  <c r="BT75" i="3" s="1"/>
  <c r="AY5" i="3"/>
  <c r="S75" i="3"/>
  <c r="R5" i="3"/>
  <c r="AP6" i="3" s="1"/>
  <c r="AY6" i="3" s="1"/>
  <c r="S12" i="3"/>
  <c r="BJ14" i="3" s="1"/>
  <c r="BK13" i="3" s="1"/>
  <c r="BS13" i="3"/>
  <c r="AE31" i="3"/>
  <c r="BR13" i="3"/>
  <c r="AZ27" i="3"/>
  <c r="AX27" i="3"/>
  <c r="R13" i="3"/>
  <c r="AP14" i="3" s="1"/>
  <c r="AP12" i="3"/>
  <c r="AY12" i="3" s="1"/>
  <c r="AD31" i="3"/>
  <c r="R27" i="3"/>
  <c r="AP28" i="3" s="1"/>
  <c r="AX28" i="3" s="1"/>
  <c r="R14" i="3"/>
  <c r="Q32" i="3"/>
  <c r="V32" i="3" s="1"/>
  <c r="AX74" i="3"/>
  <c r="AZ74" i="3"/>
  <c r="R74" i="3"/>
  <c r="R75" i="3" s="1"/>
  <c r="AP76" i="3" s="1"/>
  <c r="BH76" i="3" s="1"/>
  <c r="BJ45" i="3"/>
  <c r="BR45" i="3" s="1"/>
  <c r="BS39" i="3"/>
  <c r="Q38" i="3"/>
  <c r="V38" i="3" s="1"/>
  <c r="S38" i="3"/>
  <c r="BJ40" i="3" s="1"/>
  <c r="BT40" i="3" s="1"/>
  <c r="R56" i="3"/>
  <c r="R57" i="3" s="1"/>
  <c r="R58" i="3" s="1"/>
  <c r="AX56" i="3"/>
  <c r="BT39" i="3"/>
  <c r="V73" i="3"/>
  <c r="AD73" i="3" s="1"/>
  <c r="BJ69" i="3"/>
  <c r="BT69" i="3" s="1"/>
  <c r="BJ70" i="3"/>
  <c r="BS70" i="3" s="1"/>
  <c r="V74" i="3"/>
  <c r="AF74" i="3" s="1"/>
  <c r="BR34" i="3"/>
  <c r="BJ33" i="3"/>
  <c r="AY56" i="3"/>
  <c r="BO58" i="3"/>
  <c r="BM57" i="3"/>
  <c r="AF11" i="3"/>
  <c r="AE19" i="3"/>
  <c r="Q20" i="3"/>
  <c r="V20" i="3" s="1"/>
  <c r="AD20" i="3" s="1"/>
  <c r="Q57" i="3"/>
  <c r="Q58" i="3" s="1"/>
  <c r="V58" i="3" s="1"/>
  <c r="AF37" i="3"/>
  <c r="AE25" i="3"/>
  <c r="AP21" i="3"/>
  <c r="AZ21" i="3" s="1"/>
  <c r="AE37" i="3"/>
  <c r="V55" i="3"/>
  <c r="AE55" i="3" s="1"/>
  <c r="V68" i="3"/>
  <c r="AD68" i="3" s="1"/>
  <c r="Q26" i="3"/>
  <c r="Q27" i="3" s="1"/>
  <c r="V27" i="3" s="1"/>
  <c r="AD27" i="3" s="1"/>
  <c r="AD25" i="3"/>
  <c r="AF4" i="3"/>
  <c r="BM58" i="3"/>
  <c r="Q45" i="3"/>
  <c r="Q46" i="3" s="1"/>
  <c r="V46" i="3" s="1"/>
  <c r="Q5" i="3"/>
  <c r="V5" i="3" s="1"/>
  <c r="AF5" i="3" s="1"/>
  <c r="AE4" i="3"/>
  <c r="BN58" i="3"/>
  <c r="V43" i="3"/>
  <c r="AE43" i="3" s="1"/>
  <c r="BK58" i="3"/>
  <c r="BK57" i="3"/>
  <c r="BO57" i="3"/>
  <c r="BL58" i="3"/>
  <c r="BR57" i="3"/>
  <c r="BN57" i="3"/>
  <c r="BL57" i="3"/>
  <c r="AY26" i="3"/>
  <c r="BT57" i="3"/>
  <c r="AE11" i="3"/>
  <c r="AD19" i="3"/>
  <c r="AP39" i="3"/>
  <c r="AX39" i="3" s="1"/>
  <c r="V18" i="3"/>
  <c r="AD18" i="3" s="1"/>
  <c r="Q12" i="3"/>
  <c r="V12" i="3" s="1"/>
  <c r="AF12" i="3" s="1"/>
  <c r="BM13" i="3"/>
  <c r="AZ26" i="3"/>
  <c r="BO7" i="3"/>
  <c r="BT6" i="3"/>
  <c r="BK6" i="3"/>
  <c r="BL7" i="3"/>
  <c r="R70" i="3"/>
  <c r="V62" i="3"/>
  <c r="AD62" i="3" s="1"/>
  <c r="AP69" i="3"/>
  <c r="AY13" i="3"/>
  <c r="BR6" i="3"/>
  <c r="BO6" i="3"/>
  <c r="BN6" i="3"/>
  <c r="BL6" i="3"/>
  <c r="BM7" i="3"/>
  <c r="BM6" i="3"/>
  <c r="BN7" i="3"/>
  <c r="BK7" i="3"/>
  <c r="BQ7" i="3" s="1"/>
  <c r="BU7" i="3" s="1"/>
  <c r="AZ20" i="3"/>
  <c r="AX13" i="3"/>
  <c r="BJ52" i="3"/>
  <c r="BN51" i="3" s="1"/>
  <c r="AX51" i="3"/>
  <c r="BR76" i="3"/>
  <c r="BT76" i="3"/>
  <c r="BS76" i="3"/>
  <c r="Q76" i="3"/>
  <c r="V76" i="3" s="1"/>
  <c r="V75" i="3"/>
  <c r="BS20" i="3"/>
  <c r="R46" i="3"/>
  <c r="BO27" i="3"/>
  <c r="BT20" i="3"/>
  <c r="BM27" i="3"/>
  <c r="BL27" i="3"/>
  <c r="BT27" i="3"/>
  <c r="AP45" i="3"/>
  <c r="BS27" i="3"/>
  <c r="AX20" i="3"/>
  <c r="AE56" i="3"/>
  <c r="AF56" i="3"/>
  <c r="AD56" i="3"/>
  <c r="AR70" i="3"/>
  <c r="AX70" i="3"/>
  <c r="AY70" i="3"/>
  <c r="AZ70" i="3"/>
  <c r="AS70" i="3"/>
  <c r="S63" i="3"/>
  <c r="BJ64" i="3"/>
  <c r="BL63" i="3" s="1"/>
  <c r="AY63" i="3"/>
  <c r="AZ63" i="3"/>
  <c r="AX63" i="3"/>
  <c r="Q70" i="3"/>
  <c r="V70" i="3" s="1"/>
  <c r="V69" i="3"/>
  <c r="BT63" i="3"/>
  <c r="BR63" i="3"/>
  <c r="BS63" i="3"/>
  <c r="Q64" i="3"/>
  <c r="V64" i="3" s="1"/>
  <c r="V63" i="3"/>
  <c r="BK27" i="3"/>
  <c r="BK28" i="3"/>
  <c r="BN27" i="3"/>
  <c r="AY51" i="3"/>
  <c r="BN28" i="3"/>
  <c r="BL28" i="3"/>
  <c r="AR51" i="3"/>
  <c r="BM28" i="3"/>
  <c r="BR28" i="3"/>
  <c r="BS28" i="3"/>
  <c r="BO28" i="3"/>
  <c r="AZ32" i="3"/>
  <c r="BJ46" i="3"/>
  <c r="S45" i="3"/>
  <c r="AZ19" i="3"/>
  <c r="AY19" i="3"/>
  <c r="AX19" i="3"/>
  <c r="AY50" i="3"/>
  <c r="AX12" i="3"/>
  <c r="AX50" i="3"/>
  <c r="AR13" i="3"/>
  <c r="AQ50" i="3"/>
  <c r="AT51" i="3"/>
  <c r="AP40" i="3"/>
  <c r="R40" i="3"/>
  <c r="AT50" i="3"/>
  <c r="AZ6" i="3"/>
  <c r="AR50" i="3"/>
  <c r="AS33" i="3"/>
  <c r="AU51" i="3"/>
  <c r="AS51" i="3"/>
  <c r="AU50" i="3"/>
  <c r="AQ51" i="3"/>
  <c r="AD44" i="3"/>
  <c r="AF44" i="3"/>
  <c r="AE44" i="3"/>
  <c r="AQ46" i="3"/>
  <c r="AX46" i="3"/>
  <c r="AY46" i="3"/>
  <c r="AS46" i="3"/>
  <c r="AR46" i="3"/>
  <c r="AW46" i="3" s="1"/>
  <c r="BA46" i="3" s="1"/>
  <c r="AZ46" i="3"/>
  <c r="AX34" i="3"/>
  <c r="AY34" i="3"/>
  <c r="AT34" i="3"/>
  <c r="AE50" i="3"/>
  <c r="AD50" i="3"/>
  <c r="AF50" i="3"/>
  <c r="BO21" i="3"/>
  <c r="AE32" i="3"/>
  <c r="AD32" i="3"/>
  <c r="AF32" i="3"/>
  <c r="AX14" i="3"/>
  <c r="AU14" i="3"/>
  <c r="AZ14" i="3"/>
  <c r="BN20" i="3"/>
  <c r="AS50" i="3"/>
  <c r="AX52" i="3"/>
  <c r="AZ52" i="3"/>
  <c r="AT52" i="3"/>
  <c r="AS52" i="3"/>
  <c r="AR52" i="3"/>
  <c r="AQ52" i="3"/>
  <c r="AY52" i="3"/>
  <c r="AU52" i="3"/>
  <c r="Q52" i="3" l="1"/>
  <c r="V52" i="3" s="1"/>
  <c r="AT14" i="3"/>
  <c r="AF49" i="3"/>
  <c r="AD49" i="3"/>
  <c r="AU32" i="3"/>
  <c r="AY32" i="3"/>
  <c r="AQ26" i="3"/>
  <c r="AW26" i="3" s="1"/>
  <c r="BS21" i="3"/>
  <c r="BR21" i="3"/>
  <c r="AU28" i="3"/>
  <c r="AD12" i="3"/>
  <c r="BO20" i="3"/>
  <c r="BP20" i="3" s="1"/>
  <c r="BK21" i="3"/>
  <c r="BL21" i="3"/>
  <c r="BM20" i="3"/>
  <c r="BK20" i="3"/>
  <c r="BT21" i="3"/>
  <c r="BN21" i="3"/>
  <c r="BL20" i="3"/>
  <c r="AY39" i="3"/>
  <c r="AS20" i="3"/>
  <c r="AE20" i="3"/>
  <c r="AT26" i="3"/>
  <c r="AS26" i="3"/>
  <c r="Q39" i="3"/>
  <c r="AY28" i="3"/>
  <c r="AR32" i="3"/>
  <c r="AY62" i="3"/>
  <c r="AU13" i="3"/>
  <c r="AX62" i="3"/>
  <c r="AF73" i="3"/>
  <c r="AD74" i="3"/>
  <c r="BH62" i="3"/>
  <c r="AP64" i="3"/>
  <c r="BH64" i="3" s="1"/>
  <c r="BS45" i="3"/>
  <c r="BT45" i="3"/>
  <c r="BQ27" i="3"/>
  <c r="BU27" i="3" s="1"/>
  <c r="AF20" i="3"/>
  <c r="AQ20" i="3"/>
  <c r="AT27" i="3"/>
  <c r="AS34" i="3"/>
  <c r="AT32" i="3"/>
  <c r="AQ34" i="3"/>
  <c r="AU33" i="3"/>
  <c r="AS28" i="3"/>
  <c r="AR28" i="3"/>
  <c r="AS27" i="3"/>
  <c r="BP58" i="3"/>
  <c r="AR27" i="3"/>
  <c r="AR19" i="3"/>
  <c r="AU26" i="3"/>
  <c r="AV26" i="3" s="1"/>
  <c r="AF27" i="3"/>
  <c r="AT21" i="3"/>
  <c r="AU34" i="3"/>
  <c r="AR34" i="3"/>
  <c r="AQ32" i="3"/>
  <c r="AU27" i="3"/>
  <c r="AQ28" i="3"/>
  <c r="AT28" i="3"/>
  <c r="AR26" i="3"/>
  <c r="AR33" i="3"/>
  <c r="R34" i="3"/>
  <c r="AX21" i="3"/>
  <c r="AT33" i="3"/>
  <c r="AV33" i="3" s="1"/>
  <c r="AQ33" i="3"/>
  <c r="AZ34" i="3"/>
  <c r="AQ27" i="3"/>
  <c r="AZ28" i="3"/>
  <c r="AS32" i="3"/>
  <c r="BQ58" i="3"/>
  <c r="BU58" i="3" s="1"/>
  <c r="BQ28" i="3"/>
  <c r="BU28" i="3" s="1"/>
  <c r="BV27" i="3" s="1"/>
  <c r="AY14" i="3"/>
  <c r="AR14" i="3"/>
  <c r="AQ12" i="3"/>
  <c r="AS13" i="3"/>
  <c r="AE73" i="3"/>
  <c r="AS12" i="3"/>
  <c r="AD5" i="3"/>
  <c r="R76" i="3"/>
  <c r="BQ6" i="3"/>
  <c r="BU6" i="3" s="1"/>
  <c r="AQ14" i="3"/>
  <c r="AS14" i="3"/>
  <c r="AT13" i="3"/>
  <c r="AP75" i="3"/>
  <c r="AZ75" i="3" s="1"/>
  <c r="AX6" i="3"/>
  <c r="AZ39" i="3"/>
  <c r="AT12" i="3"/>
  <c r="AZ12" i="3"/>
  <c r="Q6" i="3"/>
  <c r="Q7" i="3" s="1"/>
  <c r="V7" i="3" s="1"/>
  <c r="AE7" i="3" s="1"/>
  <c r="AR12" i="3"/>
  <c r="R6" i="3"/>
  <c r="R7" i="3" s="1"/>
  <c r="BL39" i="3"/>
  <c r="AP58" i="3"/>
  <c r="BH58" i="3" s="1"/>
  <c r="AQ13" i="3"/>
  <c r="AU12" i="3"/>
  <c r="BM45" i="3"/>
  <c r="BO40" i="3"/>
  <c r="BL40" i="3"/>
  <c r="BR70" i="3"/>
  <c r="BT70" i="3"/>
  <c r="BN13" i="3"/>
  <c r="AE27" i="3"/>
  <c r="AU21" i="3"/>
  <c r="AY21" i="3"/>
  <c r="AX58" i="3"/>
  <c r="BL76" i="3"/>
  <c r="BO76" i="3"/>
  <c r="BM75" i="3"/>
  <c r="BS75" i="3"/>
  <c r="S13" i="3"/>
  <c r="BS14" i="3"/>
  <c r="BL13" i="3"/>
  <c r="BQ13" i="3" s="1"/>
  <c r="BU13" i="3" s="1"/>
  <c r="BN14" i="3"/>
  <c r="AT19" i="3"/>
  <c r="AU19" i="3"/>
  <c r="AT20" i="3"/>
  <c r="AS19" i="3"/>
  <c r="AQ19" i="3"/>
  <c r="AR21" i="3"/>
  <c r="AQ21" i="3"/>
  <c r="BN76" i="3"/>
  <c r="BK76" i="3"/>
  <c r="BQ76" i="3" s="1"/>
  <c r="BU76" i="3" s="1"/>
  <c r="BN75" i="3"/>
  <c r="BO75" i="3"/>
  <c r="BN69" i="3"/>
  <c r="BR69" i="3"/>
  <c r="BK14" i="3"/>
  <c r="BT14" i="3"/>
  <c r="BR14" i="3"/>
  <c r="AR20" i="3"/>
  <c r="AU20" i="3"/>
  <c r="AS21" i="3"/>
  <c r="BM76" i="3"/>
  <c r="BK75" i="3"/>
  <c r="BL75" i="3"/>
  <c r="BR75" i="3"/>
  <c r="BL14" i="3"/>
  <c r="BO13" i="3"/>
  <c r="BM14" i="3"/>
  <c r="BO14" i="3"/>
  <c r="AX45" i="3"/>
  <c r="BH45" i="3"/>
  <c r="AQ70" i="3"/>
  <c r="BH69" i="3"/>
  <c r="V26" i="3"/>
  <c r="AF26" i="3" s="1"/>
  <c r="BK40" i="3"/>
  <c r="BN40" i="3"/>
  <c r="BP40" i="3" s="1"/>
  <c r="AW52" i="3"/>
  <c r="BA52" i="3" s="1"/>
  <c r="AW70" i="3"/>
  <c r="BA70" i="3" s="1"/>
  <c r="BP57" i="3"/>
  <c r="AW28" i="3"/>
  <c r="BA28" i="3" s="1"/>
  <c r="R28" i="3"/>
  <c r="BS40" i="3"/>
  <c r="BK39" i="3"/>
  <c r="BQ39" i="3" s="1"/>
  <c r="BU39" i="3" s="1"/>
  <c r="Q33" i="3"/>
  <c r="Q34" i="3" s="1"/>
  <c r="V34" i="3" s="1"/>
  <c r="BR40" i="3"/>
  <c r="BN39" i="3"/>
  <c r="BO39" i="3"/>
  <c r="S39" i="3"/>
  <c r="BM39" i="3"/>
  <c r="BM40" i="3"/>
  <c r="AW33" i="3"/>
  <c r="BA33" i="3" s="1"/>
  <c r="Q28" i="3"/>
  <c r="V28" i="3" s="1"/>
  <c r="AF28" i="3" s="1"/>
  <c r="BK70" i="3"/>
  <c r="BL70" i="3"/>
  <c r="BM70" i="3"/>
  <c r="BN70" i="3"/>
  <c r="V57" i="3"/>
  <c r="AA55" i="3" s="1"/>
  <c r="BO69" i="3"/>
  <c r="BO70" i="3"/>
  <c r="BS69" i="3"/>
  <c r="BM69" i="3"/>
  <c r="AW34" i="3"/>
  <c r="BA34" i="3" s="1"/>
  <c r="BL69" i="3"/>
  <c r="BK69" i="3"/>
  <c r="AP57" i="3"/>
  <c r="AE5" i="3"/>
  <c r="Q21" i="3"/>
  <c r="V21" i="3" s="1"/>
  <c r="AA18" i="3" s="1"/>
  <c r="AE12" i="3"/>
  <c r="AD43" i="3"/>
  <c r="AE74" i="3"/>
  <c r="V45" i="3"/>
  <c r="Y45" i="3" s="1"/>
  <c r="Q13" i="3"/>
  <c r="Q14" i="3" s="1"/>
  <c r="V14" i="3" s="1"/>
  <c r="AD14" i="3" s="1"/>
  <c r="AF43" i="3"/>
  <c r="BT33" i="3"/>
  <c r="BL33" i="3"/>
  <c r="BL34" i="3"/>
  <c r="BO34" i="3"/>
  <c r="BR33" i="3"/>
  <c r="BM33" i="3"/>
  <c r="BM34" i="3"/>
  <c r="BK33" i="3"/>
  <c r="BO33" i="3"/>
  <c r="BN34" i="3"/>
  <c r="BK34" i="3"/>
  <c r="BQ34" i="3" s="1"/>
  <c r="BU34" i="3" s="1"/>
  <c r="BN33" i="3"/>
  <c r="BS33" i="3"/>
  <c r="BQ57" i="3"/>
  <c r="BU57" i="3" s="1"/>
  <c r="AF18" i="3"/>
  <c r="AE18" i="3"/>
  <c r="AF68" i="3"/>
  <c r="AE68" i="3"/>
  <c r="BP7" i="3"/>
  <c r="AF55" i="3"/>
  <c r="AD55" i="3"/>
  <c r="AE62" i="3"/>
  <c r="AZ69" i="3"/>
  <c r="AW12" i="3"/>
  <c r="BA12" i="3" s="1"/>
  <c r="AW14" i="3"/>
  <c r="BA14" i="3" s="1"/>
  <c r="BB12" i="3" s="1"/>
  <c r="BV6" i="3"/>
  <c r="AD7" i="3"/>
  <c r="AF62" i="3"/>
  <c r="AF7" i="3"/>
  <c r="BL51" i="3"/>
  <c r="AU69" i="3"/>
  <c r="AS69" i="3"/>
  <c r="AR44" i="3"/>
  <c r="BT52" i="3"/>
  <c r="AU70" i="3"/>
  <c r="AT44" i="3"/>
  <c r="BO51" i="3"/>
  <c r="BP51" i="3" s="1"/>
  <c r="AS68" i="3"/>
  <c r="AS45" i="3"/>
  <c r="AQ44" i="3"/>
  <c r="BS52" i="3"/>
  <c r="BK52" i="3"/>
  <c r="BM52" i="3"/>
  <c r="AT68" i="3"/>
  <c r="BO52" i="3"/>
  <c r="BN52" i="3"/>
  <c r="BM51" i="3"/>
  <c r="AT69" i="3"/>
  <c r="AT70" i="3"/>
  <c r="AR68" i="3"/>
  <c r="BK51" i="3"/>
  <c r="BQ51" i="3" s="1"/>
  <c r="BU51" i="3" s="1"/>
  <c r="BL52" i="3"/>
  <c r="BR52" i="3"/>
  <c r="AU68" i="3"/>
  <c r="AQ69" i="3"/>
  <c r="AR69" i="3"/>
  <c r="AQ68" i="3"/>
  <c r="BP6" i="3"/>
  <c r="AX69" i="3"/>
  <c r="AU46" i="3"/>
  <c r="AU44" i="3"/>
  <c r="AQ45" i="3"/>
  <c r="AT45" i="3"/>
  <c r="AT46" i="3"/>
  <c r="AY69" i="3"/>
  <c r="AU45" i="3"/>
  <c r="AR45" i="3"/>
  <c r="AW50" i="3"/>
  <c r="BA50" i="3" s="1"/>
  <c r="AW51" i="3"/>
  <c r="BA51" i="3" s="1"/>
  <c r="BP27" i="3"/>
  <c r="AW13" i="3"/>
  <c r="BA13" i="3" s="1"/>
  <c r="AS44" i="3"/>
  <c r="BK63" i="3"/>
  <c r="BQ63" i="3" s="1"/>
  <c r="BU63" i="3" s="1"/>
  <c r="AW27" i="3"/>
  <c r="BA26" i="3"/>
  <c r="X74" i="3"/>
  <c r="BP28" i="3"/>
  <c r="V6" i="3"/>
  <c r="W7" i="3" s="1"/>
  <c r="AZ45" i="3"/>
  <c r="AT74" i="3"/>
  <c r="AT75" i="3"/>
  <c r="AY45" i="3"/>
  <c r="AE75" i="3"/>
  <c r="AD75" i="3"/>
  <c r="AF75" i="3"/>
  <c r="Z75" i="3"/>
  <c r="AA75" i="3"/>
  <c r="W75" i="3"/>
  <c r="Y75" i="3"/>
  <c r="X75" i="3"/>
  <c r="AA73" i="3"/>
  <c r="Y73" i="3"/>
  <c r="AA74" i="3"/>
  <c r="AZ76" i="3"/>
  <c r="AT76" i="3"/>
  <c r="AR76" i="3"/>
  <c r="AY76" i="3"/>
  <c r="AS76" i="3"/>
  <c r="AQ76" i="3"/>
  <c r="AW76" i="3" s="1"/>
  <c r="BA76" i="3" s="1"/>
  <c r="AX76" i="3"/>
  <c r="AF76" i="3"/>
  <c r="AA76" i="3"/>
  <c r="Z76" i="3"/>
  <c r="X76" i="3"/>
  <c r="AE76" i="3"/>
  <c r="Y76" i="3"/>
  <c r="AD76" i="3"/>
  <c r="W76" i="3"/>
  <c r="AC76" i="3" s="1"/>
  <c r="AG76" i="3" s="1"/>
  <c r="Z74" i="3"/>
  <c r="X73" i="3"/>
  <c r="Z73" i="3"/>
  <c r="Y74" i="3"/>
  <c r="W74" i="3"/>
  <c r="W73" i="3"/>
  <c r="AC73" i="3" s="1"/>
  <c r="AG73" i="3" s="1"/>
  <c r="BM63" i="3"/>
  <c r="BN63" i="3"/>
  <c r="AR62" i="3"/>
  <c r="AU63" i="3"/>
  <c r="AS62" i="3"/>
  <c r="AR63" i="3"/>
  <c r="AT62" i="3"/>
  <c r="Z68" i="3"/>
  <c r="AQ63" i="3"/>
  <c r="Y62" i="3"/>
  <c r="Z56" i="3"/>
  <c r="AT63" i="3"/>
  <c r="AS63" i="3"/>
  <c r="X68" i="3"/>
  <c r="W68" i="3"/>
  <c r="Z63" i="3"/>
  <c r="Y63" i="3"/>
  <c r="AD63" i="3"/>
  <c r="W63" i="3"/>
  <c r="AF63" i="3"/>
  <c r="AA63" i="3"/>
  <c r="X63" i="3"/>
  <c r="AE63" i="3"/>
  <c r="Z61" i="3"/>
  <c r="X61" i="3"/>
  <c r="BO63" i="3"/>
  <c r="BN64" i="3"/>
  <c r="BM64" i="3"/>
  <c r="BL64" i="3"/>
  <c r="BT64" i="3"/>
  <c r="BS64" i="3"/>
  <c r="BO64" i="3"/>
  <c r="BR64" i="3"/>
  <c r="BK64" i="3"/>
  <c r="AZ64" i="3"/>
  <c r="AR64" i="3"/>
  <c r="AT64" i="3"/>
  <c r="AX64" i="3"/>
  <c r="AS64" i="3"/>
  <c r="AY64" i="3"/>
  <c r="AQ64" i="3"/>
  <c r="AU64" i="3"/>
  <c r="W61" i="3"/>
  <c r="Z62" i="3"/>
  <c r="AF58" i="3"/>
  <c r="X58" i="3"/>
  <c r="AE58" i="3"/>
  <c r="W58" i="3"/>
  <c r="AD58" i="3"/>
  <c r="X64" i="3"/>
  <c r="AD64" i="3"/>
  <c r="AF64" i="3"/>
  <c r="Z64" i="3"/>
  <c r="Y64" i="3"/>
  <c r="AA64" i="3"/>
  <c r="AE64" i="3"/>
  <c r="W64" i="3"/>
  <c r="AA69" i="3"/>
  <c r="X69" i="3"/>
  <c r="AD69" i="3"/>
  <c r="AF69" i="3"/>
  <c r="AE69" i="3"/>
  <c r="Y69" i="3"/>
  <c r="Z69" i="3"/>
  <c r="W69" i="3"/>
  <c r="Z67" i="3"/>
  <c r="AA67" i="3"/>
  <c r="W67" i="3"/>
  <c r="Y67" i="3"/>
  <c r="X67" i="3"/>
  <c r="AA61" i="3"/>
  <c r="AQ62" i="3"/>
  <c r="Y61" i="3"/>
  <c r="AA62" i="3"/>
  <c r="W62" i="3"/>
  <c r="W57" i="3"/>
  <c r="AE57" i="3"/>
  <c r="AA68" i="3"/>
  <c r="AA70" i="3"/>
  <c r="AF70" i="3"/>
  <c r="Z70" i="3"/>
  <c r="AE70" i="3"/>
  <c r="AD70" i="3"/>
  <c r="Y70" i="3"/>
  <c r="W70" i="3"/>
  <c r="X70" i="3"/>
  <c r="AU62" i="3"/>
  <c r="X62" i="3"/>
  <c r="Y68" i="3"/>
  <c r="Y55" i="3"/>
  <c r="AW32" i="3"/>
  <c r="BA32" i="3" s="1"/>
  <c r="AV51" i="3"/>
  <c r="V39" i="3"/>
  <c r="Q40" i="3"/>
  <c r="V40" i="3" s="1"/>
  <c r="AD38" i="3"/>
  <c r="AF38" i="3"/>
  <c r="AE38" i="3"/>
  <c r="BK45" i="3"/>
  <c r="BN45" i="3"/>
  <c r="BO45" i="3"/>
  <c r="BL45" i="3"/>
  <c r="BT46" i="3"/>
  <c r="BK46" i="3"/>
  <c r="BL46" i="3"/>
  <c r="BS46" i="3"/>
  <c r="BO46" i="3"/>
  <c r="BN46" i="3"/>
  <c r="BR46" i="3"/>
  <c r="BM46" i="3"/>
  <c r="AW21" i="3"/>
  <c r="BA21" i="3" s="1"/>
  <c r="AW19" i="3"/>
  <c r="BA19" i="3" s="1"/>
  <c r="AW20" i="3"/>
  <c r="BQ20" i="3"/>
  <c r="BU20" i="3" s="1"/>
  <c r="BV7" i="3"/>
  <c r="AV32" i="3"/>
  <c r="AW45" i="3"/>
  <c r="BA45" i="3" s="1"/>
  <c r="AV50" i="3"/>
  <c r="AW44" i="3"/>
  <c r="AR38" i="3"/>
  <c r="AU40" i="3"/>
  <c r="AR39" i="3"/>
  <c r="AT40" i="3"/>
  <c r="AY40" i="3"/>
  <c r="AT38" i="3"/>
  <c r="AT39" i="3"/>
  <c r="AQ39" i="3"/>
  <c r="AX40" i="3"/>
  <c r="AS40" i="3"/>
  <c r="AQ38" i="3"/>
  <c r="AR40" i="3"/>
  <c r="AU38" i="3"/>
  <c r="AQ40" i="3"/>
  <c r="AZ40" i="3"/>
  <c r="AS38" i="3"/>
  <c r="AU39" i="3"/>
  <c r="AS39" i="3"/>
  <c r="AV14" i="3"/>
  <c r="AF45" i="3"/>
  <c r="Y44" i="3"/>
  <c r="W44" i="3"/>
  <c r="AE45" i="3"/>
  <c r="AA43" i="3"/>
  <c r="AD45" i="3"/>
  <c r="X43" i="3"/>
  <c r="X45" i="3"/>
  <c r="Z43" i="3"/>
  <c r="W46" i="3"/>
  <c r="AD46" i="3"/>
  <c r="AF46" i="3"/>
  <c r="X46" i="3"/>
  <c r="AA46" i="3"/>
  <c r="AE46" i="3"/>
  <c r="Z46" i="3"/>
  <c r="AV44" i="3"/>
  <c r="BP21" i="3"/>
  <c r="BW27" i="3"/>
  <c r="AE34" i="3"/>
  <c r="AF34" i="3"/>
  <c r="BQ21" i="3"/>
  <c r="BU21" i="3" s="1"/>
  <c r="BY28" i="3"/>
  <c r="AF52" i="3"/>
  <c r="AD52" i="3"/>
  <c r="W52" i="3"/>
  <c r="X52" i="3"/>
  <c r="AE52" i="3"/>
  <c r="AA52" i="3"/>
  <c r="Z52" i="3"/>
  <c r="Y52" i="3"/>
  <c r="X51" i="3"/>
  <c r="AD51" i="3"/>
  <c r="W50" i="3"/>
  <c r="AE51" i="3"/>
  <c r="AF51" i="3"/>
  <c r="Y50" i="3"/>
  <c r="Z51" i="3"/>
  <c r="Z50" i="3"/>
  <c r="Z49" i="3"/>
  <c r="W51" i="3"/>
  <c r="W49" i="3"/>
  <c r="X49" i="3"/>
  <c r="AA51" i="3"/>
  <c r="X50" i="3"/>
  <c r="Y51" i="3"/>
  <c r="AA50" i="3"/>
  <c r="Y49" i="3"/>
  <c r="AA49" i="3"/>
  <c r="BX28" i="3"/>
  <c r="AV52" i="3"/>
  <c r="AV34" i="3"/>
  <c r="BH75" i="3" l="1"/>
  <c r="AX75" i="3"/>
  <c r="Y46" i="3"/>
  <c r="AA45" i="3"/>
  <c r="Z45" i="3"/>
  <c r="W45" i="3"/>
  <c r="AC45" i="3" s="1"/>
  <c r="AG45" i="3" s="1"/>
  <c r="X44" i="3"/>
  <c r="Y43" i="3"/>
  <c r="AR75" i="3"/>
  <c r="AY75" i="3"/>
  <c r="AU76" i="3"/>
  <c r="AQ75" i="3"/>
  <c r="AW75" i="3" s="1"/>
  <c r="AU74" i="3"/>
  <c r="AQ74" i="3"/>
  <c r="Z44" i="3"/>
  <c r="W43" i="3"/>
  <c r="AC43" i="3" s="1"/>
  <c r="AA44" i="3"/>
  <c r="AU75" i="3"/>
  <c r="AS74" i="3"/>
  <c r="AR74" i="3"/>
  <c r="AS75" i="3"/>
  <c r="W55" i="3"/>
  <c r="AV13" i="3"/>
  <c r="AV28" i="3"/>
  <c r="BP52" i="3"/>
  <c r="BP70" i="3"/>
  <c r="AS56" i="3"/>
  <c r="AZ58" i="3"/>
  <c r="AY58" i="3"/>
  <c r="BP13" i="3"/>
  <c r="BP69" i="3"/>
  <c r="AF57" i="3"/>
  <c r="Y57" i="3"/>
  <c r="Y56" i="3"/>
  <c r="X56" i="3"/>
  <c r="Z55" i="3"/>
  <c r="AA56" i="3"/>
  <c r="AB56" i="3" s="1"/>
  <c r="X57" i="3"/>
  <c r="AD57" i="3"/>
  <c r="Y58" i="3"/>
  <c r="Z58" i="3"/>
  <c r="W56" i="3"/>
  <c r="X55" i="3"/>
  <c r="AA57" i="3"/>
  <c r="Z57" i="3"/>
  <c r="AB57" i="3" s="1"/>
  <c r="AA58" i="3"/>
  <c r="BQ52" i="3"/>
  <c r="BU52" i="3" s="1"/>
  <c r="BP76" i="3"/>
  <c r="AV19" i="3"/>
  <c r="AV70" i="3"/>
  <c r="BQ69" i="3"/>
  <c r="BU69" i="3" s="1"/>
  <c r="BV58" i="3"/>
  <c r="AD34" i="3"/>
  <c r="V33" i="3"/>
  <c r="AA32" i="3" s="1"/>
  <c r="AV27" i="3"/>
  <c r="BZ28" i="3"/>
  <c r="AD26" i="3"/>
  <c r="BZ27" i="3"/>
  <c r="BV28" i="3"/>
  <c r="BW28" i="3"/>
  <c r="CA28" i="3"/>
  <c r="BX27" i="3"/>
  <c r="BY27" i="3"/>
  <c r="AV21" i="3"/>
  <c r="AV20" i="3"/>
  <c r="AV12" i="3"/>
  <c r="AF14" i="3"/>
  <c r="AE14" i="3"/>
  <c r="AP7" i="3"/>
  <c r="AR7" i="3" s="1"/>
  <c r="BQ70" i="3"/>
  <c r="BU70" i="3" s="1"/>
  <c r="BQ75" i="3"/>
  <c r="BU75" i="3" s="1"/>
  <c r="BQ40" i="3"/>
  <c r="BU40" i="3" s="1"/>
  <c r="BX70" i="3"/>
  <c r="AA25" i="3"/>
  <c r="AE28" i="3"/>
  <c r="BQ33" i="3"/>
  <c r="BU33" i="3" s="1"/>
  <c r="BQ14" i="3"/>
  <c r="BU14" i="3" s="1"/>
  <c r="Z25" i="3"/>
  <c r="AB25" i="3" s="1"/>
  <c r="X26" i="3"/>
  <c r="AA27" i="3"/>
  <c r="BW58" i="3"/>
  <c r="BV13" i="3"/>
  <c r="CA58" i="3"/>
  <c r="BP75" i="3"/>
  <c r="Y28" i="3"/>
  <c r="W26" i="3"/>
  <c r="Y25" i="3"/>
  <c r="W25" i="3"/>
  <c r="W27" i="3"/>
  <c r="AA28" i="3"/>
  <c r="Z28" i="3"/>
  <c r="Z27" i="3"/>
  <c r="AB27" i="3" s="1"/>
  <c r="X27" i="3"/>
  <c r="X25" i="3"/>
  <c r="AD28" i="3"/>
  <c r="Z26" i="3"/>
  <c r="Y26" i="3"/>
  <c r="W28" i="3"/>
  <c r="Y27" i="3"/>
  <c r="AA26" i="3"/>
  <c r="X28" i="3"/>
  <c r="AE26" i="3"/>
  <c r="BP14" i="3"/>
  <c r="BY14" i="3" s="1"/>
  <c r="BP39" i="3"/>
  <c r="BX39" i="3" s="1"/>
  <c r="AR57" i="3"/>
  <c r="BH57" i="3"/>
  <c r="AW62" i="3"/>
  <c r="BA62" i="3" s="1"/>
  <c r="AO131" i="3"/>
  <c r="AP131" i="3" s="1"/>
  <c r="AZ131" i="3" s="1"/>
  <c r="BF52" i="3"/>
  <c r="BC52" i="3"/>
  <c r="BB52" i="3"/>
  <c r="BE52" i="3"/>
  <c r="BG52" i="3"/>
  <c r="BD52" i="3"/>
  <c r="AR58" i="3"/>
  <c r="BP34" i="3"/>
  <c r="AS57" i="3"/>
  <c r="AW64" i="3"/>
  <c r="BA64" i="3" s="1"/>
  <c r="AW69" i="3"/>
  <c r="BA69" i="3" s="1"/>
  <c r="AB55" i="3"/>
  <c r="AW40" i="3"/>
  <c r="BA40" i="3" s="1"/>
  <c r="AO105" i="3"/>
  <c r="AP105" i="3" s="1"/>
  <c r="AY105" i="3" s="1"/>
  <c r="AW68" i="3"/>
  <c r="BA68" i="3" s="1"/>
  <c r="AO107" i="3"/>
  <c r="AP107" i="3" s="1"/>
  <c r="AX107" i="3" s="1"/>
  <c r="V13" i="3"/>
  <c r="X19" i="3"/>
  <c r="Z19" i="3"/>
  <c r="AD21" i="3"/>
  <c r="BY40" i="3"/>
  <c r="BZ39" i="3"/>
  <c r="BV39" i="3"/>
  <c r="BW39" i="3"/>
  <c r="AO98" i="3"/>
  <c r="AP98" i="3" s="1"/>
  <c r="Y21" i="3"/>
  <c r="Z20" i="3"/>
  <c r="X18" i="3"/>
  <c r="X21" i="3"/>
  <c r="W21" i="3"/>
  <c r="Y18" i="3"/>
  <c r="AT57" i="3"/>
  <c r="AQ56" i="3"/>
  <c r="AY57" i="3"/>
  <c r="AX57" i="3"/>
  <c r="AU57" i="3"/>
  <c r="AU56" i="3"/>
  <c r="AR56" i="3"/>
  <c r="AQ57" i="3"/>
  <c r="AW57" i="3" s="1"/>
  <c r="AT56" i="3"/>
  <c r="AZ57" i="3"/>
  <c r="AT58" i="3"/>
  <c r="AU58" i="3"/>
  <c r="AS58" i="3"/>
  <c r="W20" i="3"/>
  <c r="AQ58" i="3"/>
  <c r="AW58" i="3" s="1"/>
  <c r="BP33" i="3"/>
  <c r="Y19" i="3"/>
  <c r="AE21" i="3"/>
  <c r="AA19" i="3"/>
  <c r="Y20" i="3"/>
  <c r="Z18" i="3"/>
  <c r="AB18" i="3" s="1"/>
  <c r="AA21" i="3"/>
  <c r="X20" i="3"/>
  <c r="W18" i="3"/>
  <c r="W19" i="3"/>
  <c r="AF21" i="3"/>
  <c r="AA20" i="3"/>
  <c r="Z21" i="3"/>
  <c r="BE34" i="3"/>
  <c r="AB43" i="3"/>
  <c r="CA27" i="3"/>
  <c r="CB27" i="3" s="1"/>
  <c r="BX58" i="3"/>
  <c r="BZ58" i="3"/>
  <c r="BY58" i="3"/>
  <c r="CA57" i="3"/>
  <c r="BV57" i="3"/>
  <c r="BY57" i="3"/>
  <c r="BX57" i="3"/>
  <c r="BW57" i="3"/>
  <c r="BZ57" i="3"/>
  <c r="BD12" i="3"/>
  <c r="BD34" i="3"/>
  <c r="BF34" i="3"/>
  <c r="BC34" i="3"/>
  <c r="BB34" i="3"/>
  <c r="AO113" i="3"/>
  <c r="AP113" i="3" s="1"/>
  <c r="BG34" i="3"/>
  <c r="AV46" i="3"/>
  <c r="AV45" i="3"/>
  <c r="AV68" i="3"/>
  <c r="AO149" i="3" s="1"/>
  <c r="AP149" i="3" s="1"/>
  <c r="AV69" i="3"/>
  <c r="AA34" i="3"/>
  <c r="AA33" i="3"/>
  <c r="W31" i="3"/>
  <c r="CG34" i="3"/>
  <c r="X31" i="3"/>
  <c r="W33" i="3"/>
  <c r="Z32" i="3"/>
  <c r="AB32" i="3" s="1"/>
  <c r="X32" i="3"/>
  <c r="Z34" i="3"/>
  <c r="AA31" i="3"/>
  <c r="Y33" i="3"/>
  <c r="AW63" i="3"/>
  <c r="BA63" i="3" s="1"/>
  <c r="BW6" i="3"/>
  <c r="BZ7" i="3"/>
  <c r="BY7" i="3"/>
  <c r="BX7" i="3"/>
  <c r="BW7" i="3"/>
  <c r="CA7" i="3"/>
  <c r="CA6" i="3"/>
  <c r="BX6" i="3"/>
  <c r="BZ6" i="3"/>
  <c r="BY6" i="3"/>
  <c r="AB68" i="3"/>
  <c r="AC55" i="3"/>
  <c r="AG55" i="3" s="1"/>
  <c r="BA75" i="3"/>
  <c r="AW74" i="3"/>
  <c r="AC69" i="3"/>
  <c r="AG69" i="3" s="1"/>
  <c r="BF69" i="3"/>
  <c r="BG69" i="3"/>
  <c r="BC69" i="3"/>
  <c r="BD69" i="3"/>
  <c r="BE69" i="3"/>
  <c r="AC74" i="3"/>
  <c r="AG74" i="3" s="1"/>
  <c r="AO148" i="3"/>
  <c r="AP148" i="3" s="1"/>
  <c r="AO147" i="3"/>
  <c r="AP147" i="3" s="1"/>
  <c r="BF68" i="3"/>
  <c r="BD68" i="3"/>
  <c r="BB68" i="3"/>
  <c r="BC68" i="3"/>
  <c r="BE68" i="3"/>
  <c r="BG68" i="3"/>
  <c r="BV76" i="3"/>
  <c r="BZ75" i="3"/>
  <c r="BW75" i="3"/>
  <c r="BA27" i="3"/>
  <c r="BE28" i="3" s="1"/>
  <c r="AO106" i="3"/>
  <c r="AP106" i="3" s="1"/>
  <c r="AV62" i="3"/>
  <c r="AV63" i="3"/>
  <c r="AV75" i="3"/>
  <c r="X7" i="3"/>
  <c r="AC7" i="3" s="1"/>
  <c r="AG7" i="3" s="1"/>
  <c r="Z5" i="3"/>
  <c r="Y6" i="3"/>
  <c r="W4" i="3"/>
  <c r="W5" i="3"/>
  <c r="Z7" i="3"/>
  <c r="AA7" i="3"/>
  <c r="AA5" i="3"/>
  <c r="X5" i="3"/>
  <c r="X6" i="3"/>
  <c r="AA4" i="3"/>
  <c r="Y5" i="3"/>
  <c r="AE6" i="3"/>
  <c r="AD6" i="3"/>
  <c r="AA6" i="3"/>
  <c r="Z6" i="3"/>
  <c r="Y4" i="3"/>
  <c r="AF6" i="3"/>
  <c r="W6" i="3"/>
  <c r="Y7" i="3"/>
  <c r="Z4" i="3"/>
  <c r="X4" i="3"/>
  <c r="AC70" i="3"/>
  <c r="AG70" i="3" s="1"/>
  <c r="BP63" i="3"/>
  <c r="AC75" i="3"/>
  <c r="AG75" i="3" s="1"/>
  <c r="AV74" i="3"/>
  <c r="AC64" i="3"/>
  <c r="AG64" i="3" s="1"/>
  <c r="AB74" i="3"/>
  <c r="AV76" i="3"/>
  <c r="AO155" i="3" s="1"/>
  <c r="AP155" i="3" s="1"/>
  <c r="AZ155" i="3" s="1"/>
  <c r="AC61" i="3"/>
  <c r="AG61" i="3" s="1"/>
  <c r="AC56" i="3"/>
  <c r="AG56" i="3" s="1"/>
  <c r="AB75" i="3"/>
  <c r="AB73" i="3"/>
  <c r="AC63" i="3"/>
  <c r="AG63" i="3" s="1"/>
  <c r="AC68" i="3"/>
  <c r="AG68" i="3" s="1"/>
  <c r="AB76" i="3"/>
  <c r="AC57" i="3"/>
  <c r="AG57" i="3" s="1"/>
  <c r="AC58" i="3"/>
  <c r="AG58" i="3" s="1"/>
  <c r="AC62" i="3"/>
  <c r="AG62" i="3" s="1"/>
  <c r="AC67" i="3"/>
  <c r="AB63" i="3"/>
  <c r="BP64" i="3"/>
  <c r="BQ64" i="3"/>
  <c r="BU64" i="3" s="1"/>
  <c r="BV64" i="3" s="1"/>
  <c r="AB62" i="3"/>
  <c r="AV64" i="3"/>
  <c r="AB69" i="3"/>
  <c r="AB64" i="3"/>
  <c r="AB70" i="3"/>
  <c r="AB67" i="3"/>
  <c r="AB61" i="3"/>
  <c r="X40" i="3"/>
  <c r="AF40" i="3"/>
  <c r="Y40" i="3"/>
  <c r="W40" i="3"/>
  <c r="AA40" i="3"/>
  <c r="AE40" i="3"/>
  <c r="Z40" i="3"/>
  <c r="AD40" i="3"/>
  <c r="Y39" i="3"/>
  <c r="AF39" i="3"/>
  <c r="AA39" i="3"/>
  <c r="W39" i="3"/>
  <c r="X38" i="3"/>
  <c r="X37" i="3"/>
  <c r="W37" i="3"/>
  <c r="AE39" i="3"/>
  <c r="Z37" i="3"/>
  <c r="Y37" i="3"/>
  <c r="Y38" i="3"/>
  <c r="AA38" i="3"/>
  <c r="W38" i="3"/>
  <c r="X39" i="3"/>
  <c r="AD39" i="3"/>
  <c r="Z39" i="3"/>
  <c r="AA37" i="3"/>
  <c r="Z38" i="3"/>
  <c r="AO112" i="3"/>
  <c r="AP112" i="3" s="1"/>
  <c r="AO111" i="3"/>
  <c r="AP111" i="3" s="1"/>
  <c r="BQ45" i="3"/>
  <c r="BU45" i="3" s="1"/>
  <c r="BF33" i="3"/>
  <c r="BD33" i="3"/>
  <c r="BC33" i="3"/>
  <c r="BG33" i="3"/>
  <c r="BB33" i="3"/>
  <c r="BE33" i="3"/>
  <c r="BP46" i="3"/>
  <c r="BG32" i="3"/>
  <c r="BB32" i="3"/>
  <c r="BC32" i="3"/>
  <c r="BF32" i="3"/>
  <c r="BD32" i="3"/>
  <c r="BE32" i="3"/>
  <c r="BP45" i="3"/>
  <c r="BQ46" i="3"/>
  <c r="BU46" i="3" s="1"/>
  <c r="BY51" i="3"/>
  <c r="AO130" i="3"/>
  <c r="AP130" i="3" s="1"/>
  <c r="AZ130" i="3" s="1"/>
  <c r="AY98" i="3"/>
  <c r="AZ98" i="3"/>
  <c r="AX98" i="3"/>
  <c r="AO100" i="3"/>
  <c r="AP100" i="3" s="1"/>
  <c r="BA20" i="3"/>
  <c r="BF21" i="3" s="1"/>
  <c r="AO99" i="3"/>
  <c r="AP99" i="3" s="1"/>
  <c r="BW20" i="3"/>
  <c r="BV20" i="3"/>
  <c r="CA20" i="3"/>
  <c r="AW38" i="3"/>
  <c r="BA38" i="3" s="1"/>
  <c r="AW39" i="3"/>
  <c r="BA39" i="3" s="1"/>
  <c r="AO124" i="3"/>
  <c r="AP124" i="3" s="1"/>
  <c r="BB13" i="3"/>
  <c r="BB51" i="3"/>
  <c r="BF51" i="3"/>
  <c r="BC51" i="3"/>
  <c r="BD51" i="3"/>
  <c r="BG51" i="3"/>
  <c r="BE51" i="3"/>
  <c r="AV39" i="3"/>
  <c r="AV40" i="3"/>
  <c r="AV38" i="3"/>
  <c r="BA44" i="3"/>
  <c r="AO123" i="3"/>
  <c r="AP123" i="3" s="1"/>
  <c r="AO129" i="3"/>
  <c r="AP129" i="3" s="1"/>
  <c r="BB50" i="3"/>
  <c r="BG50" i="3"/>
  <c r="BE50" i="3"/>
  <c r="BD50" i="3"/>
  <c r="BC50" i="3"/>
  <c r="BF50" i="3"/>
  <c r="BF13" i="3"/>
  <c r="BF12" i="3"/>
  <c r="AO92" i="3"/>
  <c r="AP92" i="3" s="1"/>
  <c r="BC13" i="3"/>
  <c r="BD13" i="3"/>
  <c r="AO91" i="3"/>
  <c r="AP91" i="3" s="1"/>
  <c r="BG13" i="3"/>
  <c r="BG12" i="3"/>
  <c r="BE12" i="3"/>
  <c r="AO93" i="3"/>
  <c r="AP93" i="3" s="1"/>
  <c r="BE13" i="3"/>
  <c r="BC12" i="3"/>
  <c r="BF14" i="3"/>
  <c r="BD14" i="3"/>
  <c r="BB14" i="3"/>
  <c r="BC14" i="3"/>
  <c r="BG14" i="3"/>
  <c r="BE14" i="3"/>
  <c r="AC51" i="3"/>
  <c r="AG51" i="3" s="1"/>
  <c r="BX20" i="3"/>
  <c r="AC52" i="3"/>
  <c r="AG52" i="3" s="1"/>
  <c r="AB46" i="3"/>
  <c r="AB49" i="3"/>
  <c r="AC49" i="3"/>
  <c r="AC50" i="3"/>
  <c r="AG50" i="3" s="1"/>
  <c r="AC46" i="3"/>
  <c r="BZ51" i="3"/>
  <c r="BV52" i="3"/>
  <c r="CA52" i="3"/>
  <c r="BX52" i="3"/>
  <c r="BW52" i="3"/>
  <c r="BZ52" i="3"/>
  <c r="BY52" i="3"/>
  <c r="BX51" i="3"/>
  <c r="BW51" i="3"/>
  <c r="AC44" i="3"/>
  <c r="BV51" i="3"/>
  <c r="CA51" i="3"/>
  <c r="AB50" i="3"/>
  <c r="AB51" i="3"/>
  <c r="AB52" i="3"/>
  <c r="BZ21" i="3"/>
  <c r="BX21" i="3"/>
  <c r="CA21" i="3"/>
  <c r="BW21" i="3"/>
  <c r="BV21" i="3"/>
  <c r="BY21" i="3"/>
  <c r="BY20" i="3"/>
  <c r="BZ20" i="3"/>
  <c r="AB44" i="3" l="1"/>
  <c r="AB45" i="3"/>
  <c r="AB58" i="3"/>
  <c r="AT5" i="3"/>
  <c r="AC28" i="3"/>
  <c r="AG28" i="3" s="1"/>
  <c r="AC26" i="3"/>
  <c r="AG26" i="3" s="1"/>
  <c r="W32" i="3"/>
  <c r="Z33" i="3"/>
  <c r="AB33" i="3" s="1"/>
  <c r="Y31" i="3"/>
  <c r="CF34" i="3"/>
  <c r="AZ105" i="3"/>
  <c r="Z31" i="3"/>
  <c r="AB31" i="3" s="1"/>
  <c r="CE34" i="3"/>
  <c r="Y32" i="3"/>
  <c r="AR6" i="3"/>
  <c r="AT6" i="3"/>
  <c r="AU5" i="3"/>
  <c r="AV5" i="3" s="1"/>
  <c r="AB34" i="3"/>
  <c r="AS6" i="3"/>
  <c r="AC19" i="3"/>
  <c r="AG19" i="3" s="1"/>
  <c r="CB28" i="3"/>
  <c r="CA40" i="3"/>
  <c r="CA76" i="3"/>
  <c r="BY76" i="3"/>
  <c r="BX76" i="3"/>
  <c r="CA75" i="3"/>
  <c r="BX75" i="3"/>
  <c r="BY75" i="3"/>
  <c r="BV75" i="3"/>
  <c r="BW76" i="3"/>
  <c r="BZ76" i="3"/>
  <c r="BY69" i="3"/>
  <c r="BY70" i="3"/>
  <c r="CA69" i="3"/>
  <c r="BW70" i="3"/>
  <c r="CB58" i="3"/>
  <c r="BX40" i="3"/>
  <c r="BV40" i="3"/>
  <c r="BZ40" i="3"/>
  <c r="BY39" i="3"/>
  <c r="BW40" i="3"/>
  <c r="CA39" i="3"/>
  <c r="AC32" i="3"/>
  <c r="AG32" i="3" s="1"/>
  <c r="AC31" i="3"/>
  <c r="X33" i="3"/>
  <c r="Y34" i="3"/>
  <c r="AF33" i="3"/>
  <c r="AE33" i="3"/>
  <c r="AD33" i="3"/>
  <c r="X34" i="3"/>
  <c r="W34" i="3"/>
  <c r="AB26" i="3"/>
  <c r="AC25" i="3"/>
  <c r="AG25" i="3" s="1"/>
  <c r="AR107" i="3"/>
  <c r="AX105" i="3"/>
  <c r="AB20" i="3"/>
  <c r="AB19" i="3"/>
  <c r="AQ6" i="3"/>
  <c r="AW6" i="3" s="1"/>
  <c r="AZ7" i="3"/>
  <c r="AU7" i="3"/>
  <c r="AS5" i="3"/>
  <c r="AY7" i="3"/>
  <c r="AX7" i="3"/>
  <c r="AS7" i="3"/>
  <c r="AU6" i="3"/>
  <c r="AT7" i="3"/>
  <c r="AR5" i="3"/>
  <c r="AQ7" i="3"/>
  <c r="AW7" i="3" s="1"/>
  <c r="BA7" i="3" s="1"/>
  <c r="AQ5" i="3"/>
  <c r="AW5" i="3" s="1"/>
  <c r="BX69" i="3"/>
  <c r="BV69" i="3"/>
  <c r="BV70" i="3"/>
  <c r="BZ70" i="3"/>
  <c r="CA70" i="3"/>
  <c r="BW69" i="3"/>
  <c r="BZ69" i="3"/>
  <c r="BV14" i="3"/>
  <c r="BW14" i="3"/>
  <c r="CA13" i="3"/>
  <c r="BZ13" i="3"/>
  <c r="CA14" i="3"/>
  <c r="BX14" i="3"/>
  <c r="BX13" i="3"/>
  <c r="BY13" i="3"/>
  <c r="BZ14" i="3"/>
  <c r="BW13" i="3"/>
  <c r="BV46" i="3"/>
  <c r="BV33" i="3"/>
  <c r="BV34" i="3"/>
  <c r="AC18" i="3"/>
  <c r="AG18" i="3" s="1"/>
  <c r="AB28" i="3"/>
  <c r="AC21" i="3"/>
  <c r="AG21" i="3" s="1"/>
  <c r="AC27" i="3"/>
  <c r="AG27" i="3" s="1"/>
  <c r="AB21" i="3"/>
  <c r="AC20" i="3"/>
  <c r="AV56" i="3"/>
  <c r="AX131" i="3"/>
  <c r="AY131" i="3"/>
  <c r="AQ131" i="3"/>
  <c r="AS131" i="3"/>
  <c r="AR131" i="3"/>
  <c r="AO143" i="3"/>
  <c r="AP143" i="3" s="1"/>
  <c r="AX143" i="3" s="1"/>
  <c r="BE64" i="3"/>
  <c r="BF64" i="3"/>
  <c r="BG64" i="3"/>
  <c r="BB64" i="3"/>
  <c r="BC64" i="3"/>
  <c r="BD64" i="3"/>
  <c r="BE45" i="3"/>
  <c r="BB46" i="3"/>
  <c r="BF70" i="3"/>
  <c r="AO125" i="3"/>
  <c r="AP125" i="3" s="1"/>
  <c r="AU125" i="3" s="1"/>
  <c r="BD46" i="3"/>
  <c r="BE46" i="3"/>
  <c r="BC46" i="3"/>
  <c r="BG46" i="3"/>
  <c r="BF46" i="3"/>
  <c r="AY149" i="3"/>
  <c r="AQ149" i="3"/>
  <c r="AS149" i="3"/>
  <c r="AX149" i="3"/>
  <c r="AZ149" i="3"/>
  <c r="AR149" i="3"/>
  <c r="BC70" i="3"/>
  <c r="BB69" i="3"/>
  <c r="BB70" i="3"/>
  <c r="BD70" i="3"/>
  <c r="BG70" i="3"/>
  <c r="BE70" i="3"/>
  <c r="AO119" i="3"/>
  <c r="AP119" i="3" s="1"/>
  <c r="AY119" i="3" s="1"/>
  <c r="BE40" i="3"/>
  <c r="BC40" i="3"/>
  <c r="BF40" i="3"/>
  <c r="BG40" i="3"/>
  <c r="BB40" i="3"/>
  <c r="BD40" i="3"/>
  <c r="BC26" i="3"/>
  <c r="AY107" i="3"/>
  <c r="AZ107" i="3"/>
  <c r="AT107" i="3"/>
  <c r="BB26" i="3"/>
  <c r="BF28" i="3"/>
  <c r="BF26" i="3"/>
  <c r="BD28" i="3"/>
  <c r="BC28" i="3"/>
  <c r="AA11" i="3"/>
  <c r="X12" i="3"/>
  <c r="Y13" i="3"/>
  <c r="Z13" i="3"/>
  <c r="X11" i="3"/>
  <c r="Z12" i="3"/>
  <c r="X13" i="3"/>
  <c r="AF13" i="3"/>
  <c r="AE13" i="3"/>
  <c r="X14" i="3"/>
  <c r="AD13" i="3"/>
  <c r="W11" i="3"/>
  <c r="W13" i="3"/>
  <c r="Z11" i="3"/>
  <c r="Z14" i="3"/>
  <c r="Y14" i="3"/>
  <c r="AA14" i="3"/>
  <c r="W14" i="3"/>
  <c r="AC14" i="3" s="1"/>
  <c r="AG14" i="3" s="1"/>
  <c r="W12" i="3"/>
  <c r="AC12" i="3" s="1"/>
  <c r="AG12" i="3" s="1"/>
  <c r="AA12" i="3"/>
  <c r="Y11" i="3"/>
  <c r="Y12" i="3"/>
  <c r="AA13" i="3"/>
  <c r="BZ34" i="3"/>
  <c r="BW34" i="3"/>
  <c r="BX33" i="3"/>
  <c r="CA33" i="3"/>
  <c r="CA34" i="3"/>
  <c r="BY33" i="3"/>
  <c r="BX34" i="3"/>
  <c r="BY34" i="3"/>
  <c r="BW33" i="3"/>
  <c r="BZ33" i="3"/>
  <c r="BA57" i="3"/>
  <c r="BA58" i="3"/>
  <c r="AW56" i="3"/>
  <c r="AV57" i="3"/>
  <c r="AV58" i="3"/>
  <c r="CB57" i="3"/>
  <c r="AY113" i="3"/>
  <c r="AR113" i="3"/>
  <c r="AX113" i="3"/>
  <c r="AZ113" i="3"/>
  <c r="AS113" i="3"/>
  <c r="AQ113" i="3"/>
  <c r="AW113" i="3" s="1"/>
  <c r="BA113" i="3" s="1"/>
  <c r="AC33" i="3"/>
  <c r="AG33" i="3" s="1"/>
  <c r="AH26" i="3"/>
  <c r="U106" i="3"/>
  <c r="V106" i="3" s="1"/>
  <c r="AD106" i="3" s="1"/>
  <c r="AH28" i="3"/>
  <c r="AH27" i="3"/>
  <c r="AI28" i="3"/>
  <c r="AO142" i="3"/>
  <c r="AP142" i="3" s="1"/>
  <c r="AY142" i="3" s="1"/>
  <c r="AO141" i="3"/>
  <c r="AP141" i="3" s="1"/>
  <c r="AX141" i="3" s="1"/>
  <c r="BE63" i="3"/>
  <c r="BB63" i="3"/>
  <c r="BD63" i="3"/>
  <c r="BF63" i="3"/>
  <c r="BC63" i="3"/>
  <c r="BG63" i="3"/>
  <c r="BB62" i="3"/>
  <c r="BG62" i="3"/>
  <c r="BC62" i="3"/>
  <c r="BE62" i="3"/>
  <c r="BF62" i="3"/>
  <c r="BD62" i="3"/>
  <c r="BE26" i="3"/>
  <c r="BB28" i="3"/>
  <c r="BG28" i="3"/>
  <c r="AS107" i="3"/>
  <c r="BG26" i="3"/>
  <c r="AQ107" i="3"/>
  <c r="AW107" i="3" s="1"/>
  <c r="BA107" i="3" s="1"/>
  <c r="CB7" i="3"/>
  <c r="CB6" i="3"/>
  <c r="AL27" i="3"/>
  <c r="AK26" i="3"/>
  <c r="AH76" i="3"/>
  <c r="AB4" i="3"/>
  <c r="AC6" i="3"/>
  <c r="AG6" i="3" s="1"/>
  <c r="AC38" i="3"/>
  <c r="AG38" i="3" s="1"/>
  <c r="U137" i="3"/>
  <c r="V137" i="3" s="1"/>
  <c r="AE137" i="3" s="1"/>
  <c r="AO154" i="3"/>
  <c r="AP154" i="3" s="1"/>
  <c r="AZ154" i="3" s="1"/>
  <c r="AX155" i="3"/>
  <c r="AY155" i="3"/>
  <c r="BA74" i="3"/>
  <c r="BG76" i="3" s="1"/>
  <c r="AO153" i="3"/>
  <c r="AP153" i="3" s="1"/>
  <c r="AB6" i="3"/>
  <c r="BW64" i="3"/>
  <c r="BY64" i="3"/>
  <c r="AX147" i="3"/>
  <c r="AZ147" i="3"/>
  <c r="AY147" i="3"/>
  <c r="AO145" i="3"/>
  <c r="AU149" i="3"/>
  <c r="AT149" i="3"/>
  <c r="AU147" i="3"/>
  <c r="AT147" i="3"/>
  <c r="AQ147" i="3"/>
  <c r="AS147" i="3"/>
  <c r="AR147" i="3"/>
  <c r="AZ148" i="3"/>
  <c r="AY148" i="3"/>
  <c r="AX148" i="3"/>
  <c r="AR148" i="3"/>
  <c r="AS148" i="3"/>
  <c r="AT148" i="3"/>
  <c r="AU148" i="3"/>
  <c r="AQ148" i="3"/>
  <c r="AW148" i="3" s="1"/>
  <c r="BA148" i="3" s="1"/>
  <c r="BV63" i="3"/>
  <c r="CB69" i="3"/>
  <c r="AB7" i="3"/>
  <c r="AY106" i="3"/>
  <c r="AX106" i="3"/>
  <c r="AZ106" i="3"/>
  <c r="AR106" i="3"/>
  <c r="AQ106" i="3"/>
  <c r="AU106" i="3"/>
  <c r="AS106" i="3"/>
  <c r="AT106" i="3"/>
  <c r="AQ105" i="3"/>
  <c r="AU107" i="3"/>
  <c r="BD27" i="3"/>
  <c r="BE27" i="3"/>
  <c r="BC27" i="3"/>
  <c r="BG27" i="3"/>
  <c r="BB27" i="3"/>
  <c r="BF27" i="3"/>
  <c r="BD26" i="3"/>
  <c r="AR105" i="3"/>
  <c r="AT105" i="3"/>
  <c r="AU105" i="3"/>
  <c r="AS105" i="3"/>
  <c r="AH73" i="3"/>
  <c r="AL75" i="3"/>
  <c r="AK75" i="3"/>
  <c r="AH74" i="3"/>
  <c r="AB5" i="3"/>
  <c r="AH75" i="3"/>
  <c r="AC5" i="3"/>
  <c r="AC4" i="3"/>
  <c r="AM74" i="3"/>
  <c r="AC37" i="3"/>
  <c r="AG37" i="3" s="1"/>
  <c r="AK74" i="3"/>
  <c r="AJ76" i="3"/>
  <c r="AM76" i="3"/>
  <c r="U140" i="3"/>
  <c r="V140" i="3" s="1"/>
  <c r="AM75" i="3"/>
  <c r="AH56" i="3"/>
  <c r="AL74" i="3"/>
  <c r="AL73" i="3"/>
  <c r="AI76" i="3"/>
  <c r="AI74" i="3"/>
  <c r="AI73" i="3"/>
  <c r="AM73" i="3"/>
  <c r="AL76" i="3"/>
  <c r="AI75" i="3"/>
  <c r="AJ74" i="3"/>
  <c r="AK73" i="3"/>
  <c r="AJ73" i="3"/>
  <c r="AJ75" i="3"/>
  <c r="AK76" i="3"/>
  <c r="AC40" i="3"/>
  <c r="AG40" i="3" s="1"/>
  <c r="U134" i="3"/>
  <c r="V134" i="3" s="1"/>
  <c r="U152" i="3"/>
  <c r="V152" i="3" s="1"/>
  <c r="U153" i="3"/>
  <c r="V153" i="3" s="1"/>
  <c r="U154" i="3"/>
  <c r="V154" i="3" s="1"/>
  <c r="U155" i="3"/>
  <c r="V155" i="3" s="1"/>
  <c r="AK61" i="3"/>
  <c r="AH61" i="3"/>
  <c r="AJ61" i="3"/>
  <c r="AI61" i="3"/>
  <c r="AM61" i="3"/>
  <c r="AL61" i="3"/>
  <c r="AK62" i="3"/>
  <c r="AM62" i="3"/>
  <c r="AJ62" i="3"/>
  <c r="AI62" i="3"/>
  <c r="AL62" i="3"/>
  <c r="AI64" i="3"/>
  <c r="AK64" i="3"/>
  <c r="AJ63" i="3"/>
  <c r="AI63" i="3"/>
  <c r="AM63" i="3"/>
  <c r="AL64" i="3"/>
  <c r="AL63" i="3"/>
  <c r="AK63" i="3"/>
  <c r="AM64" i="3"/>
  <c r="AJ64" i="3"/>
  <c r="AG67" i="3"/>
  <c r="AM69" i="3" s="1"/>
  <c r="U146" i="3"/>
  <c r="V146" i="3" s="1"/>
  <c r="U147" i="3"/>
  <c r="V147" i="3" s="1"/>
  <c r="U149" i="3"/>
  <c r="V149" i="3" s="1"/>
  <c r="U148" i="3"/>
  <c r="V148" i="3" s="1"/>
  <c r="AH62" i="3"/>
  <c r="AH55" i="3"/>
  <c r="AI55" i="3"/>
  <c r="AL55" i="3"/>
  <c r="AJ55" i="3"/>
  <c r="AM55" i="3"/>
  <c r="AK55" i="3"/>
  <c r="AJ56" i="3"/>
  <c r="AI56" i="3"/>
  <c r="AM56" i="3"/>
  <c r="AK56" i="3"/>
  <c r="AL56" i="3"/>
  <c r="AH63" i="3"/>
  <c r="AH64" i="3"/>
  <c r="U142" i="3"/>
  <c r="V142" i="3" s="1"/>
  <c r="U136" i="3"/>
  <c r="V136" i="3" s="1"/>
  <c r="U141" i="3"/>
  <c r="V141" i="3" s="1"/>
  <c r="U135" i="3"/>
  <c r="V135" i="3" s="1"/>
  <c r="AI57" i="3"/>
  <c r="AL57" i="3"/>
  <c r="AJ57" i="3"/>
  <c r="AK57" i="3"/>
  <c r="AM57" i="3"/>
  <c r="AH57" i="3"/>
  <c r="U143" i="3"/>
  <c r="V143" i="3" s="1"/>
  <c r="AH58" i="3"/>
  <c r="AI58" i="3"/>
  <c r="AM58" i="3"/>
  <c r="AJ58" i="3"/>
  <c r="AL58" i="3"/>
  <c r="AK58" i="3"/>
  <c r="CA64" i="3"/>
  <c r="BZ64" i="3"/>
  <c r="BZ63" i="3"/>
  <c r="CA63" i="3"/>
  <c r="BX64" i="3"/>
  <c r="AX130" i="3"/>
  <c r="AR130" i="3"/>
  <c r="BY63" i="3"/>
  <c r="BX63" i="3"/>
  <c r="BW63" i="3"/>
  <c r="AB40" i="3"/>
  <c r="AB39" i="3"/>
  <c r="AB38" i="3"/>
  <c r="AC39" i="3"/>
  <c r="AU113" i="3"/>
  <c r="AB37" i="3"/>
  <c r="AG43" i="3"/>
  <c r="AG49" i="3"/>
  <c r="AH51" i="3" s="1"/>
  <c r="AT111" i="3"/>
  <c r="AX111" i="3"/>
  <c r="AQ111" i="3"/>
  <c r="AY111" i="3"/>
  <c r="AT113" i="3"/>
  <c r="AV113" i="3" s="1"/>
  <c r="AY130" i="3"/>
  <c r="AT112" i="3"/>
  <c r="AU111" i="3"/>
  <c r="AR112" i="3"/>
  <c r="AR111" i="3"/>
  <c r="AS111" i="3"/>
  <c r="AQ112" i="3"/>
  <c r="AZ111" i="3"/>
  <c r="AU112" i="3"/>
  <c r="AX112" i="3"/>
  <c r="AZ112" i="3"/>
  <c r="AS112" i="3"/>
  <c r="AO109" i="3"/>
  <c r="AY112" i="3"/>
  <c r="CA45" i="3"/>
  <c r="BZ46" i="3"/>
  <c r="CA46" i="3"/>
  <c r="BX46" i="3"/>
  <c r="BW46" i="3"/>
  <c r="BX45" i="3"/>
  <c r="BY46" i="3"/>
  <c r="BY45" i="3"/>
  <c r="BZ45" i="3"/>
  <c r="BV45" i="3"/>
  <c r="BW45" i="3"/>
  <c r="CC27" i="3"/>
  <c r="AT98" i="3"/>
  <c r="BC21" i="3"/>
  <c r="CC28" i="3"/>
  <c r="AT99" i="3"/>
  <c r="AY100" i="3"/>
  <c r="AS100" i="3"/>
  <c r="AR100" i="3"/>
  <c r="AT100" i="3"/>
  <c r="AZ100" i="3"/>
  <c r="AX100" i="3"/>
  <c r="AU100" i="3"/>
  <c r="AQ100" i="3"/>
  <c r="BB19" i="3"/>
  <c r="BD21" i="3"/>
  <c r="AR98" i="3"/>
  <c r="BE19" i="3"/>
  <c r="BG19" i="3"/>
  <c r="BG21" i="3"/>
  <c r="AZ99" i="3"/>
  <c r="AX99" i="3"/>
  <c r="AY99" i="3"/>
  <c r="AQ99" i="3"/>
  <c r="AU99" i="3"/>
  <c r="AS99" i="3"/>
  <c r="AR99" i="3"/>
  <c r="BC19" i="3"/>
  <c r="BF19" i="3"/>
  <c r="AU98" i="3"/>
  <c r="BC20" i="3"/>
  <c r="BB20" i="3"/>
  <c r="BF20" i="3"/>
  <c r="BE20" i="3"/>
  <c r="BG20" i="3"/>
  <c r="BD20" i="3"/>
  <c r="BB21" i="3"/>
  <c r="BD19" i="3"/>
  <c r="BE21" i="3"/>
  <c r="AS98" i="3"/>
  <c r="AQ98" i="3"/>
  <c r="AW98" i="3" s="1"/>
  <c r="BA98" i="3" s="1"/>
  <c r="AR124" i="3"/>
  <c r="AO117" i="3"/>
  <c r="AP117" i="3" s="1"/>
  <c r="AY124" i="3"/>
  <c r="AX124" i="3"/>
  <c r="AO118" i="3"/>
  <c r="AP118" i="3" s="1"/>
  <c r="BD45" i="3"/>
  <c r="BF45" i="3"/>
  <c r="AZ124" i="3"/>
  <c r="BC45" i="3"/>
  <c r="AU130" i="3"/>
  <c r="AO127" i="3"/>
  <c r="AX129" i="3"/>
  <c r="AZ129" i="3"/>
  <c r="AY129" i="3"/>
  <c r="AT129" i="3"/>
  <c r="AR129" i="3"/>
  <c r="AS129" i="3"/>
  <c r="AU131" i="3"/>
  <c r="AU129" i="3"/>
  <c r="AQ129" i="3"/>
  <c r="AW129" i="3" s="1"/>
  <c r="BA129" i="3" s="1"/>
  <c r="AT131" i="3"/>
  <c r="AQ130" i="3"/>
  <c r="AW130" i="3" s="1"/>
  <c r="BA130" i="3" s="1"/>
  <c r="AZ123" i="3"/>
  <c r="AX123" i="3"/>
  <c r="AY123" i="3"/>
  <c r="AS123" i="3"/>
  <c r="AQ123" i="3"/>
  <c r="BF38" i="3"/>
  <c r="BC38" i="3"/>
  <c r="BG38" i="3"/>
  <c r="BB38" i="3"/>
  <c r="BD38" i="3"/>
  <c r="BE38" i="3"/>
  <c r="BG45" i="3"/>
  <c r="AT130" i="3"/>
  <c r="BC39" i="3"/>
  <c r="BB39" i="3"/>
  <c r="BE39" i="3"/>
  <c r="BD39" i="3"/>
  <c r="BG39" i="3"/>
  <c r="BF39" i="3"/>
  <c r="BB44" i="3"/>
  <c r="BG44" i="3"/>
  <c r="BC44" i="3"/>
  <c r="BD44" i="3"/>
  <c r="BF44" i="3"/>
  <c r="BE44" i="3"/>
  <c r="BB45" i="3"/>
  <c r="AS130" i="3"/>
  <c r="AS92" i="3"/>
  <c r="AU93" i="3"/>
  <c r="AT93" i="3"/>
  <c r="AX93" i="3"/>
  <c r="AZ93" i="3"/>
  <c r="AR93" i="3"/>
  <c r="AY93" i="3"/>
  <c r="AQ93" i="3"/>
  <c r="AS93" i="3"/>
  <c r="AY91" i="3"/>
  <c r="AO89" i="3"/>
  <c r="AZ91" i="3"/>
  <c r="AX91" i="3"/>
  <c r="AQ91" i="3"/>
  <c r="AU91" i="3"/>
  <c r="AT91" i="3"/>
  <c r="AS91" i="3"/>
  <c r="AR91" i="3"/>
  <c r="AY92" i="3"/>
  <c r="AZ92" i="3"/>
  <c r="AX92" i="3"/>
  <c r="AR92" i="3"/>
  <c r="AQ92" i="3"/>
  <c r="AT92" i="3"/>
  <c r="AU92" i="3"/>
  <c r="AL51" i="3"/>
  <c r="AM49" i="3"/>
  <c r="BA5" i="3"/>
  <c r="BA6" i="3"/>
  <c r="AI52" i="3"/>
  <c r="AK51" i="3"/>
  <c r="U124" i="3"/>
  <c r="V124" i="3" s="1"/>
  <c r="U130" i="3"/>
  <c r="V130" i="3" s="1"/>
  <c r="U131" i="3"/>
  <c r="V131" i="3" s="1"/>
  <c r="AG46" i="3"/>
  <c r="U125" i="3"/>
  <c r="V125" i="3" s="1"/>
  <c r="CB51" i="3"/>
  <c r="AG44" i="3"/>
  <c r="U122" i="3"/>
  <c r="V122" i="3" s="1"/>
  <c r="U123" i="3"/>
  <c r="V123" i="3" s="1"/>
  <c r="CB20" i="3"/>
  <c r="CB52" i="3"/>
  <c r="CB21" i="3"/>
  <c r="U128" i="3"/>
  <c r="V128" i="3" s="1"/>
  <c r="U129" i="3"/>
  <c r="V129" i="3" s="1"/>
  <c r="AG31" i="3"/>
  <c r="AV107" i="3" l="1"/>
  <c r="AI27" i="3"/>
  <c r="AT123" i="3"/>
  <c r="AR123" i="3"/>
  <c r="AT124" i="3"/>
  <c r="AK27" i="3"/>
  <c r="AI25" i="3"/>
  <c r="AJ28" i="3"/>
  <c r="AK28" i="3"/>
  <c r="AU124" i="3"/>
  <c r="AT125" i="3"/>
  <c r="AS124" i="3"/>
  <c r="U107" i="3"/>
  <c r="V107" i="3" s="1"/>
  <c r="AE107" i="3" s="1"/>
  <c r="AM27" i="3"/>
  <c r="AJ25" i="3"/>
  <c r="AC13" i="3"/>
  <c r="AG13" i="3" s="1"/>
  <c r="AV7" i="3"/>
  <c r="AE106" i="3"/>
  <c r="AQ124" i="3"/>
  <c r="AW124" i="3" s="1"/>
  <c r="BA124" i="3" s="1"/>
  <c r="AU123" i="3"/>
  <c r="AV123" i="3" s="1"/>
  <c r="AM28" i="3"/>
  <c r="AJ27" i="3"/>
  <c r="AL28" i="3"/>
  <c r="AL25" i="3"/>
  <c r="AV6" i="3"/>
  <c r="AC34" i="3"/>
  <c r="CB76" i="3"/>
  <c r="AM25" i="3"/>
  <c r="CB75" i="3"/>
  <c r="CB70" i="3"/>
  <c r="AH49" i="3"/>
  <c r="AJ50" i="3"/>
  <c r="AM50" i="3"/>
  <c r="AL49" i="3"/>
  <c r="AH50" i="3"/>
  <c r="CB40" i="3"/>
  <c r="CB64" i="3"/>
  <c r="CB39" i="3"/>
  <c r="CC21" i="3"/>
  <c r="AL26" i="3"/>
  <c r="U104" i="3"/>
  <c r="V104" i="3" s="1"/>
  <c r="AD104" i="3" s="1"/>
  <c r="AJ26" i="3"/>
  <c r="U105" i="3"/>
  <c r="V105" i="3" s="1"/>
  <c r="Y105" i="3" s="1"/>
  <c r="AI26" i="3"/>
  <c r="CB13" i="3"/>
  <c r="CB33" i="3"/>
  <c r="CB14" i="3"/>
  <c r="AF106" i="3"/>
  <c r="AK25" i="3"/>
  <c r="AM26" i="3"/>
  <c r="AH25" i="3"/>
  <c r="AC11" i="3"/>
  <c r="AG11" i="3" s="1"/>
  <c r="AG20" i="3"/>
  <c r="AM21" i="3" s="1"/>
  <c r="U99" i="3"/>
  <c r="V99" i="3" s="1"/>
  <c r="U98" i="3"/>
  <c r="V98" i="3" s="1"/>
  <c r="U97" i="3"/>
  <c r="V97" i="3" s="1"/>
  <c r="U100" i="3"/>
  <c r="V100" i="3" s="1"/>
  <c r="AW131" i="3"/>
  <c r="BA131" i="3" s="1"/>
  <c r="AW112" i="3"/>
  <c r="BA112" i="3" s="1"/>
  <c r="BB131" i="3"/>
  <c r="AW149" i="3"/>
  <c r="BA149" i="3" s="1"/>
  <c r="AR143" i="3"/>
  <c r="BF143" i="3"/>
  <c r="BC143" i="3"/>
  <c r="AY143" i="3"/>
  <c r="AZ143" i="3"/>
  <c r="AS143" i="3"/>
  <c r="AQ143" i="3"/>
  <c r="BG143" i="3"/>
  <c r="BD143" i="3"/>
  <c r="AW143" i="3"/>
  <c r="BA143" i="3" s="1"/>
  <c r="BB143" i="3"/>
  <c r="BH143" i="3"/>
  <c r="BE143" i="3"/>
  <c r="AW100" i="3"/>
  <c r="BA100" i="3" s="1"/>
  <c r="AY125" i="3"/>
  <c r="AX125" i="3"/>
  <c r="AZ125" i="3"/>
  <c r="AS125" i="3"/>
  <c r="AR125" i="3"/>
  <c r="AQ125" i="3"/>
  <c r="AR119" i="3"/>
  <c r="AX119" i="3"/>
  <c r="AQ119" i="3"/>
  <c r="AW119" i="3" s="1"/>
  <c r="BA119" i="3" s="1"/>
  <c r="AS119" i="3"/>
  <c r="AO103" i="3"/>
  <c r="AB11" i="3"/>
  <c r="AZ119" i="3"/>
  <c r="AB13" i="3"/>
  <c r="AB14" i="3"/>
  <c r="AB12" i="3"/>
  <c r="AO136" i="3"/>
  <c r="AP136" i="3" s="1"/>
  <c r="AX136" i="3" s="1"/>
  <c r="CB34" i="3"/>
  <c r="CC33" i="3" s="1"/>
  <c r="AW111" i="3"/>
  <c r="BA111" i="3" s="1"/>
  <c r="AO137" i="3"/>
  <c r="AP137" i="3" s="1"/>
  <c r="BA56" i="3"/>
  <c r="AO135" i="3"/>
  <c r="AP135" i="3" s="1"/>
  <c r="AW93" i="3"/>
  <c r="BA93" i="3" s="1"/>
  <c r="CC58" i="3"/>
  <c r="CC57" i="3"/>
  <c r="BB111" i="3"/>
  <c r="BB113" i="3"/>
  <c r="BB112" i="3"/>
  <c r="AT143" i="3"/>
  <c r="AF104" i="3"/>
  <c r="AS141" i="3"/>
  <c r="BH141" i="3"/>
  <c r="AT141" i="3"/>
  <c r="AU141" i="3"/>
  <c r="AY141" i="3"/>
  <c r="AQ142" i="3"/>
  <c r="AS142" i="3"/>
  <c r="BG141" i="3"/>
  <c r="AW141" i="3"/>
  <c r="BA141" i="3" s="1"/>
  <c r="AW142" i="3"/>
  <c r="BA142" i="3" s="1"/>
  <c r="AZ141" i="3"/>
  <c r="BB141" i="3"/>
  <c r="AZ142" i="3"/>
  <c r="AR141" i="3"/>
  <c r="AQ141" i="3"/>
  <c r="BC141" i="3"/>
  <c r="BE141" i="3"/>
  <c r="AT142" i="3"/>
  <c r="BC142" i="3"/>
  <c r="AU142" i="3"/>
  <c r="AU143" i="3"/>
  <c r="BD141" i="3"/>
  <c r="BF141" i="3"/>
  <c r="AR142" i="3"/>
  <c r="BH142" i="3"/>
  <c r="BB142" i="3"/>
  <c r="AX142" i="3"/>
  <c r="BG142" i="3"/>
  <c r="BE142" i="3"/>
  <c r="AO139" i="3"/>
  <c r="BD142" i="3"/>
  <c r="BF142" i="3"/>
  <c r="BI64" i="3"/>
  <c r="AW106" i="3"/>
  <c r="BA106" i="3" s="1"/>
  <c r="CC6" i="3"/>
  <c r="CC7" i="3"/>
  <c r="AL52" i="3"/>
  <c r="AM51" i="3"/>
  <c r="AI50" i="3"/>
  <c r="AK49" i="3"/>
  <c r="AJ51" i="3"/>
  <c r="AI49" i="3"/>
  <c r="AM52" i="3"/>
  <c r="AI51" i="3"/>
  <c r="AL50" i="3"/>
  <c r="AH52" i="3"/>
  <c r="AK50" i="3"/>
  <c r="AJ49" i="3"/>
  <c r="AJ52" i="3"/>
  <c r="AK52" i="3"/>
  <c r="AF137" i="3"/>
  <c r="AD137" i="3"/>
  <c r="AF134" i="3"/>
  <c r="AF140" i="3"/>
  <c r="BC75" i="3"/>
  <c r="BE76" i="3"/>
  <c r="BD76" i="3"/>
  <c r="BB75" i="3"/>
  <c r="AX154" i="3"/>
  <c r="BE75" i="3"/>
  <c r="AR154" i="3"/>
  <c r="AY154" i="3"/>
  <c r="BD75" i="3"/>
  <c r="AZ153" i="3"/>
  <c r="AY153" i="3"/>
  <c r="AX153" i="3"/>
  <c r="AU153" i="3"/>
  <c r="AT153" i="3"/>
  <c r="AR155" i="3"/>
  <c r="AT155" i="3"/>
  <c r="AQ155" i="3"/>
  <c r="AS155" i="3"/>
  <c r="AR153" i="3"/>
  <c r="AQ153" i="3"/>
  <c r="AS153" i="3"/>
  <c r="AU155" i="3"/>
  <c r="AQ154" i="3"/>
  <c r="AW154" i="3" s="1"/>
  <c r="BA154" i="3" s="1"/>
  <c r="BE74" i="3"/>
  <c r="BD74" i="3"/>
  <c r="BF74" i="3"/>
  <c r="BG74" i="3"/>
  <c r="BC74" i="3"/>
  <c r="BB74" i="3"/>
  <c r="BB76" i="3"/>
  <c r="BF75" i="3"/>
  <c r="BF76" i="3"/>
  <c r="AS154" i="3"/>
  <c r="AU154" i="3"/>
  <c r="BG75" i="3"/>
  <c r="BC76" i="3"/>
  <c r="AT154" i="3"/>
  <c r="AV106" i="3"/>
  <c r="AV148" i="3"/>
  <c r="AW147" i="3"/>
  <c r="BA147" i="3" s="1"/>
  <c r="BB148" i="3" s="1"/>
  <c r="AV147" i="3"/>
  <c r="AV149" i="3"/>
  <c r="CC76" i="3"/>
  <c r="CC75" i="3"/>
  <c r="CC69" i="3"/>
  <c r="CC70" i="3"/>
  <c r="AV105" i="3"/>
  <c r="AW105" i="3"/>
  <c r="BA105" i="3" s="1"/>
  <c r="BG107" i="3" s="1"/>
  <c r="AJ70" i="3"/>
  <c r="AD140" i="3"/>
  <c r="AL70" i="3"/>
  <c r="AE140" i="3"/>
  <c r="U85" i="3"/>
  <c r="V85" i="3" s="1"/>
  <c r="AG4" i="3"/>
  <c r="U83" i="3"/>
  <c r="V83" i="3" s="1"/>
  <c r="U86" i="3"/>
  <c r="V86" i="3" s="1"/>
  <c r="AG5" i="3"/>
  <c r="U84" i="3"/>
  <c r="V84" i="3" s="1"/>
  <c r="U117" i="3"/>
  <c r="V117" i="3" s="1"/>
  <c r="AE117" i="3" s="1"/>
  <c r="AE134" i="3"/>
  <c r="U139" i="3"/>
  <c r="AD134" i="3"/>
  <c r="W155" i="3"/>
  <c r="AA155" i="3"/>
  <c r="AE155" i="3"/>
  <c r="X155" i="3"/>
  <c r="AF155" i="3"/>
  <c r="AD155" i="3"/>
  <c r="Y155" i="3"/>
  <c r="Z155" i="3"/>
  <c r="X154" i="3"/>
  <c r="AF154" i="3"/>
  <c r="W154" i="3"/>
  <c r="Y154" i="3"/>
  <c r="AE154" i="3"/>
  <c r="Z154" i="3"/>
  <c r="AD154" i="3"/>
  <c r="AA154" i="3"/>
  <c r="Y153" i="3"/>
  <c r="X153" i="3"/>
  <c r="Z153" i="3"/>
  <c r="AD153" i="3"/>
  <c r="AF153" i="3"/>
  <c r="W153" i="3"/>
  <c r="AC153" i="3" s="1"/>
  <c r="AG153" i="3" s="1"/>
  <c r="AA153" i="3"/>
  <c r="AE153" i="3"/>
  <c r="U151" i="3"/>
  <c r="Z152" i="3"/>
  <c r="AD152" i="3"/>
  <c r="W152" i="3"/>
  <c r="AA152" i="3"/>
  <c r="AE152" i="3"/>
  <c r="X152" i="3"/>
  <c r="AF152" i="3"/>
  <c r="Y152" i="3"/>
  <c r="X135" i="3"/>
  <c r="Y135" i="3"/>
  <c r="AE135" i="3"/>
  <c r="AF135" i="3"/>
  <c r="AD135" i="3"/>
  <c r="W135" i="3"/>
  <c r="AA135" i="3"/>
  <c r="Z135" i="3"/>
  <c r="AA136" i="3"/>
  <c r="Y136" i="3"/>
  <c r="X136" i="3"/>
  <c r="AD136" i="3"/>
  <c r="W136" i="3"/>
  <c r="AE136" i="3"/>
  <c r="Z136" i="3"/>
  <c r="AF136" i="3"/>
  <c r="X148" i="3"/>
  <c r="Y148" i="3"/>
  <c r="AD148" i="3"/>
  <c r="AA148" i="3"/>
  <c r="AF148" i="3"/>
  <c r="Z148" i="3"/>
  <c r="W148" i="3"/>
  <c r="AE148" i="3"/>
  <c r="AM67" i="3"/>
  <c r="AH67" i="3"/>
  <c r="AJ67" i="3"/>
  <c r="AK67" i="3"/>
  <c r="AI67" i="3"/>
  <c r="AL67" i="3"/>
  <c r="AK68" i="3"/>
  <c r="AI68" i="3"/>
  <c r="AJ68" i="3"/>
  <c r="AM68" i="3"/>
  <c r="AL68" i="3"/>
  <c r="AH68" i="3"/>
  <c r="AH69" i="3"/>
  <c r="AH70" i="3"/>
  <c r="W134" i="3"/>
  <c r="AA134" i="3"/>
  <c r="U133" i="3"/>
  <c r="Y140" i="3"/>
  <c r="Y137" i="3"/>
  <c r="AA137" i="3"/>
  <c r="AM70" i="3"/>
  <c r="X142" i="3"/>
  <c r="AF142" i="3"/>
  <c r="Z142" i="3"/>
  <c r="Y142" i="3"/>
  <c r="AE142" i="3"/>
  <c r="W142" i="3"/>
  <c r="AD142" i="3"/>
  <c r="AA142" i="3"/>
  <c r="AK69" i="3"/>
  <c r="AD149" i="3"/>
  <c r="W149" i="3"/>
  <c r="X149" i="3"/>
  <c r="AA149" i="3"/>
  <c r="Z149" i="3"/>
  <c r="AF149" i="3"/>
  <c r="AE149" i="3"/>
  <c r="Y149" i="3"/>
  <c r="Y134" i="3"/>
  <c r="AA140" i="3"/>
  <c r="W140" i="3"/>
  <c r="W137" i="3"/>
  <c r="AD143" i="3"/>
  <c r="Y143" i="3"/>
  <c r="Z143" i="3"/>
  <c r="AA143" i="3"/>
  <c r="X143" i="3"/>
  <c r="AF143" i="3"/>
  <c r="AE143" i="3"/>
  <c r="W143" i="3"/>
  <c r="AK70" i="3"/>
  <c r="AL69" i="3"/>
  <c r="AF147" i="3"/>
  <c r="AD147" i="3"/>
  <c r="AE147" i="3"/>
  <c r="Z147" i="3"/>
  <c r="AA147" i="3"/>
  <c r="X147" i="3"/>
  <c r="Y147" i="3"/>
  <c r="W147" i="3"/>
  <c r="Z134" i="3"/>
  <c r="Z140" i="3"/>
  <c r="AI70" i="3"/>
  <c r="X137" i="3"/>
  <c r="U119" i="3"/>
  <c r="V119" i="3" s="1"/>
  <c r="AD141" i="3"/>
  <c r="AE141" i="3"/>
  <c r="AF141" i="3"/>
  <c r="X141" i="3"/>
  <c r="Y141" i="3"/>
  <c r="AA141" i="3"/>
  <c r="W141" i="3"/>
  <c r="Z141" i="3"/>
  <c r="AI69" i="3"/>
  <c r="AF146" i="3"/>
  <c r="AE146" i="3"/>
  <c r="AD146" i="3"/>
  <c r="Z146" i="3"/>
  <c r="Y146" i="3"/>
  <c r="X146" i="3"/>
  <c r="AA146" i="3"/>
  <c r="W146" i="3"/>
  <c r="X134" i="3"/>
  <c r="X140" i="3"/>
  <c r="AJ69" i="3"/>
  <c r="Z137" i="3"/>
  <c r="CB63" i="3"/>
  <c r="AV98" i="3"/>
  <c r="AV112" i="3"/>
  <c r="AV111" i="3"/>
  <c r="AG39" i="3"/>
  <c r="AJ40" i="3" s="1"/>
  <c r="U118" i="3"/>
  <c r="V118" i="3" s="1"/>
  <c r="U116" i="3"/>
  <c r="V116" i="3" s="1"/>
  <c r="AV130" i="3"/>
  <c r="CB46" i="3"/>
  <c r="CB45" i="3"/>
  <c r="AW92" i="3"/>
  <c r="BA92" i="3" s="1"/>
  <c r="AW91" i="3"/>
  <c r="BA91" i="3" s="1"/>
  <c r="AW99" i="3"/>
  <c r="BA99" i="3" s="1"/>
  <c r="BB99" i="3" s="1"/>
  <c r="AV100" i="3"/>
  <c r="AW123" i="3"/>
  <c r="BA123" i="3" s="1"/>
  <c r="AO96" i="3"/>
  <c r="AV99" i="3"/>
  <c r="BB129" i="3"/>
  <c r="BB130" i="3"/>
  <c r="AX118" i="3"/>
  <c r="AQ117" i="3"/>
  <c r="AY117" i="3"/>
  <c r="AY118" i="3"/>
  <c r="AZ117" i="3"/>
  <c r="AR118" i="3"/>
  <c r="AT119" i="3"/>
  <c r="AR117" i="3"/>
  <c r="AU118" i="3"/>
  <c r="AU117" i="3"/>
  <c r="AX117" i="3"/>
  <c r="AS118" i="3"/>
  <c r="AT118" i="3"/>
  <c r="AU119" i="3"/>
  <c r="AT117" i="3"/>
  <c r="AV125" i="3"/>
  <c r="AQ118" i="3"/>
  <c r="AW118" i="3"/>
  <c r="BA118" i="3" s="1"/>
  <c r="AZ118" i="3"/>
  <c r="AS117" i="3"/>
  <c r="AO121" i="3"/>
  <c r="AO115" i="3"/>
  <c r="AV131" i="3"/>
  <c r="AV91" i="3"/>
  <c r="AV129" i="3"/>
  <c r="AV124" i="3"/>
  <c r="BB92" i="3"/>
  <c r="AV92" i="3"/>
  <c r="AV93" i="3"/>
  <c r="CC20" i="3"/>
  <c r="BB7" i="3"/>
  <c r="BF5" i="3"/>
  <c r="BG6" i="3"/>
  <c r="BD6" i="3"/>
  <c r="BE6" i="3"/>
  <c r="BB6" i="3"/>
  <c r="BC6" i="3"/>
  <c r="BF6" i="3"/>
  <c r="BF7" i="3"/>
  <c r="BG5" i="3"/>
  <c r="BE7" i="3"/>
  <c r="BB5" i="3"/>
  <c r="BG7" i="3"/>
  <c r="BD7" i="3"/>
  <c r="BC5" i="3"/>
  <c r="BC7" i="3"/>
  <c r="BD5" i="3"/>
  <c r="BE5" i="3"/>
  <c r="AL45" i="3"/>
  <c r="AK45" i="3"/>
  <c r="AM45" i="3"/>
  <c r="AI14" i="3"/>
  <c r="AF125" i="3"/>
  <c r="AE125" i="3"/>
  <c r="AD125" i="3"/>
  <c r="AF131" i="3"/>
  <c r="AE131" i="3"/>
  <c r="AD131" i="3"/>
  <c r="AJ14" i="3"/>
  <c r="AI45" i="3"/>
  <c r="AH46" i="3"/>
  <c r="AK46" i="3"/>
  <c r="AJ46" i="3"/>
  <c r="AI46" i="3"/>
  <c r="AL46" i="3"/>
  <c r="AM46" i="3"/>
  <c r="AL14" i="3"/>
  <c r="AE130" i="3"/>
  <c r="AF130" i="3"/>
  <c r="AD130" i="3"/>
  <c r="AJ45" i="3"/>
  <c r="AM14" i="3"/>
  <c r="AK13" i="3"/>
  <c r="AI13" i="3"/>
  <c r="AH13" i="3"/>
  <c r="AL13" i="3"/>
  <c r="AJ13" i="3"/>
  <c r="AM13" i="3"/>
  <c r="AD124" i="3"/>
  <c r="AF124" i="3"/>
  <c r="AE124" i="3"/>
  <c r="AA125" i="3"/>
  <c r="W125" i="3"/>
  <c r="W124" i="3"/>
  <c r="X125" i="3"/>
  <c r="Y124" i="3"/>
  <c r="X124" i="3"/>
  <c r="W122" i="3"/>
  <c r="AA124" i="3"/>
  <c r="Y122" i="3"/>
  <c r="AF122" i="3"/>
  <c r="Y125" i="3"/>
  <c r="Z125" i="3"/>
  <c r="Z124" i="3"/>
  <c r="AA122" i="3"/>
  <c r="AE122" i="3"/>
  <c r="X122" i="3"/>
  <c r="AD122" i="3"/>
  <c r="Z122" i="3"/>
  <c r="AH45" i="3"/>
  <c r="AK43" i="3"/>
  <c r="AH43" i="3"/>
  <c r="AK44" i="3"/>
  <c r="AI43" i="3"/>
  <c r="AH44" i="3"/>
  <c r="AJ44" i="3"/>
  <c r="AL43" i="3"/>
  <c r="AI44" i="3"/>
  <c r="AM44" i="3"/>
  <c r="AJ43" i="3"/>
  <c r="AM43" i="3"/>
  <c r="AL44" i="3"/>
  <c r="AE123" i="3"/>
  <c r="AA123" i="3"/>
  <c r="Z123" i="3"/>
  <c r="AF123" i="3"/>
  <c r="W123" i="3"/>
  <c r="Y123" i="3"/>
  <c r="AD123" i="3"/>
  <c r="X123" i="3"/>
  <c r="CC51" i="3"/>
  <c r="CC52" i="3"/>
  <c r="Y131" i="3"/>
  <c r="Y130" i="3"/>
  <c r="Z131" i="3"/>
  <c r="AF128" i="3"/>
  <c r="Z128" i="3"/>
  <c r="AA130" i="3"/>
  <c r="X128" i="3"/>
  <c r="X131" i="3"/>
  <c r="W128" i="3"/>
  <c r="Z130" i="3"/>
  <c r="AD128" i="3"/>
  <c r="AA128" i="3"/>
  <c r="AA131" i="3"/>
  <c r="W131" i="3"/>
  <c r="W130" i="3"/>
  <c r="X130" i="3"/>
  <c r="AE128" i="3"/>
  <c r="Y128" i="3"/>
  <c r="AH14" i="3"/>
  <c r="AL11" i="3"/>
  <c r="AK12" i="3"/>
  <c r="Z129" i="3"/>
  <c r="AD129" i="3"/>
  <c r="AA129" i="3"/>
  <c r="X129" i="3"/>
  <c r="W129" i="3"/>
  <c r="AE129" i="3"/>
  <c r="Y129" i="3"/>
  <c r="AF129" i="3"/>
  <c r="AO85" i="3" l="1"/>
  <c r="AP85" i="3" s="1"/>
  <c r="AO84" i="3"/>
  <c r="AP84" i="3" s="1"/>
  <c r="AO86" i="3"/>
  <c r="AP86" i="3" s="1"/>
  <c r="AK14" i="3"/>
  <c r="X104" i="3"/>
  <c r="AI21" i="3"/>
  <c r="AA106" i="3"/>
  <c r="X105" i="3"/>
  <c r="Y104" i="3"/>
  <c r="Z105" i="3"/>
  <c r="AA105" i="3"/>
  <c r="Z106" i="3"/>
  <c r="W107" i="3"/>
  <c r="U103" i="3"/>
  <c r="Y106" i="3"/>
  <c r="X106" i="3"/>
  <c r="AJ21" i="3"/>
  <c r="W106" i="3"/>
  <c r="Z104" i="3"/>
  <c r="W104" i="3"/>
  <c r="AC104" i="3" s="1"/>
  <c r="AG104" i="3" s="1"/>
  <c r="X107" i="3"/>
  <c r="Z107" i="3"/>
  <c r="AD107" i="3"/>
  <c r="AF107" i="3"/>
  <c r="Y107" i="3"/>
  <c r="AA104" i="3"/>
  <c r="AK21" i="3"/>
  <c r="AL12" i="3"/>
  <c r="AL21" i="3"/>
  <c r="AG34" i="3"/>
  <c r="U113" i="3"/>
  <c r="V113" i="3" s="1"/>
  <c r="U110" i="3"/>
  <c r="V110" i="3" s="1"/>
  <c r="U112" i="3"/>
  <c r="V112" i="3" s="1"/>
  <c r="U111" i="3"/>
  <c r="V111" i="3" s="1"/>
  <c r="U127" i="3"/>
  <c r="AI11" i="3"/>
  <c r="CC39" i="3"/>
  <c r="CC40" i="3"/>
  <c r="AD105" i="3"/>
  <c r="W105" i="3"/>
  <c r="AC105" i="3" s="1"/>
  <c r="AG105" i="3" s="1"/>
  <c r="AF105" i="3"/>
  <c r="AE105" i="3"/>
  <c r="AE104" i="3"/>
  <c r="AA107" i="3"/>
  <c r="AB107" i="3" s="1"/>
  <c r="AM11" i="3"/>
  <c r="AI12" i="3"/>
  <c r="AJ11" i="3"/>
  <c r="AJ12" i="3"/>
  <c r="AH12" i="3"/>
  <c r="AH11" i="3"/>
  <c r="AK11" i="3"/>
  <c r="AM12" i="3"/>
  <c r="CC46" i="3"/>
  <c r="CC34" i="3"/>
  <c r="CC14" i="3"/>
  <c r="CC13" i="3"/>
  <c r="U93" i="3"/>
  <c r="V93" i="3" s="1"/>
  <c r="U92" i="3"/>
  <c r="V92" i="3" s="1"/>
  <c r="U91" i="3"/>
  <c r="V91" i="3" s="1"/>
  <c r="U90" i="3"/>
  <c r="V90" i="3" s="1"/>
  <c r="AD97" i="3"/>
  <c r="AF97" i="3"/>
  <c r="Z97" i="3"/>
  <c r="W97" i="3"/>
  <c r="AA97" i="3"/>
  <c r="AE97" i="3"/>
  <c r="X97" i="3"/>
  <c r="Y97" i="3"/>
  <c r="AE98" i="3"/>
  <c r="W98" i="3"/>
  <c r="AF98" i="3"/>
  <c r="X98" i="3"/>
  <c r="AD98" i="3"/>
  <c r="Y98" i="3"/>
  <c r="Z98" i="3"/>
  <c r="AA98" i="3"/>
  <c r="Y99" i="3"/>
  <c r="Z99" i="3"/>
  <c r="AD99" i="3"/>
  <c r="W99" i="3"/>
  <c r="X99" i="3"/>
  <c r="AE99" i="3"/>
  <c r="AA99" i="3"/>
  <c r="AF99" i="3"/>
  <c r="AF100" i="3"/>
  <c r="X100" i="3"/>
  <c r="AE100" i="3"/>
  <c r="W100" i="3"/>
  <c r="Z100" i="3"/>
  <c r="Y100" i="3"/>
  <c r="AD100" i="3"/>
  <c r="AA100" i="3"/>
  <c r="AH20" i="3"/>
  <c r="AJ19" i="3"/>
  <c r="AM20" i="3"/>
  <c r="AI18" i="3"/>
  <c r="AH19" i="3"/>
  <c r="AI20" i="3"/>
  <c r="AK18" i="3"/>
  <c r="AJ18" i="3"/>
  <c r="AJ20" i="3"/>
  <c r="AH18" i="3"/>
  <c r="AK19" i="3"/>
  <c r="AM19" i="3"/>
  <c r="AH21" i="3"/>
  <c r="AL19" i="3"/>
  <c r="AM18" i="3"/>
  <c r="AI19" i="3"/>
  <c r="AK20" i="3"/>
  <c r="AL20" i="3"/>
  <c r="AL18" i="3"/>
  <c r="BD131" i="3"/>
  <c r="BE149" i="3"/>
  <c r="BG131" i="3"/>
  <c r="BF131" i="3"/>
  <c r="BE131" i="3"/>
  <c r="BC131" i="3"/>
  <c r="BC149" i="3"/>
  <c r="BD149" i="3"/>
  <c r="BF149" i="3"/>
  <c r="BG149" i="3"/>
  <c r="BB149" i="3"/>
  <c r="AW125" i="3"/>
  <c r="BA125" i="3" s="1"/>
  <c r="BE125" i="3" s="1"/>
  <c r="BD125" i="3"/>
  <c r="AS136" i="3"/>
  <c r="AY136" i="3"/>
  <c r="AZ136" i="3"/>
  <c r="AT136" i="3"/>
  <c r="U145" i="3"/>
  <c r="AU136" i="3"/>
  <c r="BC112" i="3"/>
  <c r="AZ135" i="3"/>
  <c r="AW135" i="3"/>
  <c r="BA135" i="3" s="1"/>
  <c r="BD135" i="3"/>
  <c r="AU135" i="3"/>
  <c r="BE135" i="3"/>
  <c r="BG135" i="3"/>
  <c r="AT135" i="3"/>
  <c r="AR135" i="3"/>
  <c r="AX135" i="3"/>
  <c r="BC135" i="3"/>
  <c r="BB135" i="3"/>
  <c r="AS135" i="3"/>
  <c r="BF135" i="3"/>
  <c r="BH135" i="3"/>
  <c r="AY135" i="3"/>
  <c r="AQ135" i="3"/>
  <c r="AQ136" i="3"/>
  <c r="BG58" i="3"/>
  <c r="BB58" i="3"/>
  <c r="BF56" i="3"/>
  <c r="BB57" i="3"/>
  <c r="BC57" i="3"/>
  <c r="BC58" i="3"/>
  <c r="BE58" i="3"/>
  <c r="BD56" i="3"/>
  <c r="BD57" i="3"/>
  <c r="BF57" i="3"/>
  <c r="BF58" i="3"/>
  <c r="BB56" i="3"/>
  <c r="BC56" i="3"/>
  <c r="BG57" i="3"/>
  <c r="BD58" i="3"/>
  <c r="BE56" i="3"/>
  <c r="BG56" i="3"/>
  <c r="BE57" i="3"/>
  <c r="AR136" i="3"/>
  <c r="AU137" i="3"/>
  <c r="AT137" i="3"/>
  <c r="AY137" i="3"/>
  <c r="AS137" i="3"/>
  <c r="AZ137" i="3"/>
  <c r="AR137" i="3"/>
  <c r="AX137" i="3"/>
  <c r="AQ137" i="3"/>
  <c r="BG111" i="3"/>
  <c r="BB91" i="3"/>
  <c r="BB93" i="3"/>
  <c r="AV143" i="3"/>
  <c r="AC107" i="3"/>
  <c r="AG107" i="3" s="1"/>
  <c r="BF112" i="3"/>
  <c r="BE113" i="3"/>
  <c r="BE111" i="3"/>
  <c r="BG112" i="3"/>
  <c r="BD113" i="3"/>
  <c r="BC113" i="3"/>
  <c r="BC111" i="3"/>
  <c r="BD112" i="3"/>
  <c r="BG113" i="3"/>
  <c r="BD111" i="3"/>
  <c r="BE112" i="3"/>
  <c r="BF113" i="3"/>
  <c r="BF111" i="3"/>
  <c r="AF117" i="3"/>
  <c r="AD117" i="3"/>
  <c r="AV142" i="3"/>
  <c r="AB122" i="3"/>
  <c r="AV141" i="3"/>
  <c r="BI62" i="3"/>
  <c r="BI63" i="3"/>
  <c r="BF107" i="3"/>
  <c r="BB107" i="3"/>
  <c r="BE107" i="3"/>
  <c r="BC107" i="3"/>
  <c r="BD107" i="3"/>
  <c r="BG93" i="3"/>
  <c r="AB140" i="3"/>
  <c r="AB134" i="3"/>
  <c r="AB137" i="3"/>
  <c r="AV154" i="3"/>
  <c r="AB148" i="3"/>
  <c r="AB130" i="3"/>
  <c r="AC131" i="3"/>
  <c r="AG131" i="3" s="1"/>
  <c r="AW155" i="3"/>
  <c r="BA155" i="3" s="1"/>
  <c r="AW153" i="3"/>
  <c r="BA153" i="3" s="1"/>
  <c r="AV153" i="3"/>
  <c r="AV155" i="3"/>
  <c r="AB155" i="3"/>
  <c r="AC143" i="3"/>
  <c r="AG143" i="3" s="1"/>
  <c r="AC136" i="3"/>
  <c r="AG136" i="3" s="1"/>
  <c r="BB147" i="3"/>
  <c r="BF147" i="3"/>
  <c r="BG148" i="3"/>
  <c r="BF148" i="3"/>
  <c r="BG147" i="3"/>
  <c r="BD147" i="3"/>
  <c r="BE147" i="3"/>
  <c r="BD148" i="3"/>
  <c r="BE148" i="3"/>
  <c r="BC147" i="3"/>
  <c r="BC148" i="3"/>
  <c r="CC63" i="3"/>
  <c r="CC64" i="3"/>
  <c r="BE105" i="3"/>
  <c r="BC105" i="3"/>
  <c r="BD105" i="3"/>
  <c r="BF105" i="3"/>
  <c r="BG105" i="3"/>
  <c r="BB105" i="3"/>
  <c r="BE106" i="3"/>
  <c r="BF106" i="3"/>
  <c r="BB106" i="3"/>
  <c r="BD106" i="3"/>
  <c r="BC106" i="3"/>
  <c r="BG106" i="3"/>
  <c r="AB136" i="3"/>
  <c r="AC135" i="3"/>
  <c r="AG135" i="3" s="1"/>
  <c r="AB152" i="3"/>
  <c r="AF83" i="3"/>
  <c r="AD83" i="3"/>
  <c r="W83" i="3"/>
  <c r="X83" i="3"/>
  <c r="AE83" i="3"/>
  <c r="AA83" i="3"/>
  <c r="Y83" i="3"/>
  <c r="Z83" i="3"/>
  <c r="AF84" i="3"/>
  <c r="AA84" i="3"/>
  <c r="Z84" i="3"/>
  <c r="AD84" i="3"/>
  <c r="AE84" i="3"/>
  <c r="X84" i="3"/>
  <c r="W84" i="3"/>
  <c r="Y84" i="3"/>
  <c r="AM7" i="3"/>
  <c r="AK6" i="3"/>
  <c r="AH6" i="3"/>
  <c r="AI4" i="3"/>
  <c r="AI6" i="3"/>
  <c r="AH7" i="3"/>
  <c r="AI7" i="3"/>
  <c r="AK4" i="3"/>
  <c r="AH4" i="3"/>
  <c r="AL6" i="3"/>
  <c r="AJ7" i="3"/>
  <c r="AJ6" i="3"/>
  <c r="AL4" i="3"/>
  <c r="AM4" i="3"/>
  <c r="AK7" i="3"/>
  <c r="AL7" i="3"/>
  <c r="AM6" i="3"/>
  <c r="AJ4" i="3"/>
  <c r="AK5" i="3"/>
  <c r="AH5" i="3"/>
  <c r="AI5" i="3"/>
  <c r="AM5" i="3"/>
  <c r="AJ5" i="3"/>
  <c r="AL5" i="3"/>
  <c r="AA85" i="3"/>
  <c r="W85" i="3"/>
  <c r="AF85" i="3"/>
  <c r="AD85" i="3"/>
  <c r="Y85" i="3"/>
  <c r="AE85" i="3"/>
  <c r="X85" i="3"/>
  <c r="Z85" i="3"/>
  <c r="AF86" i="3"/>
  <c r="AD86" i="3"/>
  <c r="X86" i="3"/>
  <c r="AA86" i="3"/>
  <c r="AE86" i="3"/>
  <c r="Y86" i="3"/>
  <c r="Z86" i="3"/>
  <c r="W86" i="3"/>
  <c r="AC142" i="3"/>
  <c r="AG142" i="3" s="1"/>
  <c r="AC155" i="3"/>
  <c r="AG155" i="3" s="1"/>
  <c r="AB149" i="3"/>
  <c r="AM38" i="3"/>
  <c r="AC141" i="3"/>
  <c r="AG141" i="3" s="1"/>
  <c r="AC146" i="3"/>
  <c r="AG146" i="3" s="1"/>
  <c r="AL38" i="3"/>
  <c r="AK38" i="3"/>
  <c r="AB141" i="3"/>
  <c r="AM40" i="3"/>
  <c r="AC149" i="3"/>
  <c r="AG149" i="3" s="1"/>
  <c r="AB135" i="3"/>
  <c r="AC148" i="3"/>
  <c r="AG148" i="3" s="1"/>
  <c r="AC147" i="3"/>
  <c r="AG147" i="3" s="1"/>
  <c r="AC154" i="3"/>
  <c r="AG154" i="3" s="1"/>
  <c r="AC152" i="3"/>
  <c r="AG152" i="3" s="1"/>
  <c r="AB154" i="3"/>
  <c r="AB153" i="3"/>
  <c r="AC140" i="3"/>
  <c r="AG140" i="3" s="1"/>
  <c r="AC134" i="3"/>
  <c r="AG134" i="3" s="1"/>
  <c r="AD119" i="3"/>
  <c r="AE119" i="3"/>
  <c r="AF119" i="3"/>
  <c r="AJ37" i="3"/>
  <c r="AH40" i="3"/>
  <c r="AB146" i="3"/>
  <c r="AB147" i="3"/>
  <c r="AB142" i="3"/>
  <c r="AL40" i="3"/>
  <c r="AB143" i="3"/>
  <c r="AC137" i="3"/>
  <c r="AG137" i="3" s="1"/>
  <c r="AI40" i="3"/>
  <c r="AK40" i="3"/>
  <c r="AO151" i="3"/>
  <c r="AJ38" i="3"/>
  <c r="AI37" i="3"/>
  <c r="W118" i="3"/>
  <c r="AA118" i="3"/>
  <c r="Y117" i="3"/>
  <c r="X118" i="3"/>
  <c r="AD118" i="3"/>
  <c r="AA117" i="3"/>
  <c r="Z117" i="3"/>
  <c r="AE118" i="3"/>
  <c r="Z118" i="3"/>
  <c r="X117" i="3"/>
  <c r="AF118" i="3"/>
  <c r="Y118" i="3"/>
  <c r="W117" i="3"/>
  <c r="AM39" i="3"/>
  <c r="AI39" i="3"/>
  <c r="AH39" i="3"/>
  <c r="AK39" i="3"/>
  <c r="AL39" i="3"/>
  <c r="AH37" i="3"/>
  <c r="AI38" i="3"/>
  <c r="AK37" i="3"/>
  <c r="AL37" i="3"/>
  <c r="AH38" i="3"/>
  <c r="AJ39" i="3"/>
  <c r="AM37" i="3"/>
  <c r="Y116" i="3"/>
  <c r="AA116" i="3"/>
  <c r="W119" i="3"/>
  <c r="X119" i="3"/>
  <c r="AD116" i="3"/>
  <c r="W116" i="3"/>
  <c r="Z119" i="3"/>
  <c r="X116" i="3"/>
  <c r="AF116" i="3"/>
  <c r="AA119" i="3"/>
  <c r="Y119" i="3"/>
  <c r="Z116" i="3"/>
  <c r="AE116" i="3"/>
  <c r="AV118" i="3"/>
  <c r="CC45" i="3"/>
  <c r="AW117" i="3"/>
  <c r="BA117" i="3" s="1"/>
  <c r="BB117" i="3" s="1"/>
  <c r="BB98" i="3"/>
  <c r="BG98" i="3"/>
  <c r="BF98" i="3"/>
  <c r="BE98" i="3"/>
  <c r="BD98" i="3"/>
  <c r="BC98" i="3"/>
  <c r="BB124" i="3"/>
  <c r="BB100" i="3"/>
  <c r="BF92" i="3"/>
  <c r="BG91" i="3"/>
  <c r="BC99" i="3"/>
  <c r="BC129" i="3"/>
  <c r="BF100" i="3"/>
  <c r="BD99" i="3"/>
  <c r="BE99" i="3"/>
  <c r="BG100" i="3"/>
  <c r="BF99" i="3"/>
  <c r="BC100" i="3"/>
  <c r="BD100" i="3"/>
  <c r="BG99" i="3"/>
  <c r="BE100" i="3"/>
  <c r="BF124" i="3"/>
  <c r="BD123" i="3"/>
  <c r="BG124" i="3"/>
  <c r="BC123" i="3"/>
  <c r="BE123" i="3"/>
  <c r="BC124" i="3"/>
  <c r="BG123" i="3"/>
  <c r="BD124" i="3"/>
  <c r="BF123" i="3"/>
  <c r="BE124" i="3"/>
  <c r="BG130" i="3"/>
  <c r="BF129" i="3"/>
  <c r="BD130" i="3"/>
  <c r="BE130" i="3"/>
  <c r="BF130" i="3"/>
  <c r="BD129" i="3"/>
  <c r="BE129" i="3"/>
  <c r="BC130" i="3"/>
  <c r="BG129" i="3"/>
  <c r="AV119" i="3"/>
  <c r="BE119" i="3" s="1"/>
  <c r="AB125" i="3"/>
  <c r="AV117" i="3"/>
  <c r="AO82" i="3"/>
  <c r="U121" i="3"/>
  <c r="BC91" i="3"/>
  <c r="BE92" i="3"/>
  <c r="BG92" i="3"/>
  <c r="BC93" i="3"/>
  <c r="BE91" i="3"/>
  <c r="BC92" i="3"/>
  <c r="BE93" i="3"/>
  <c r="BF91" i="3"/>
  <c r="BD92" i="3"/>
  <c r="BD93" i="3"/>
  <c r="BF93" i="3"/>
  <c r="BD91" i="3"/>
  <c r="AB124" i="3"/>
  <c r="AC129" i="3"/>
  <c r="AG129" i="3" s="1"/>
  <c r="AB123" i="3"/>
  <c r="AC123" i="3"/>
  <c r="AG123" i="3" s="1"/>
  <c r="AC125" i="3"/>
  <c r="AG125" i="3" s="1"/>
  <c r="AC130" i="3"/>
  <c r="AG130" i="3" s="1"/>
  <c r="AC128" i="3"/>
  <c r="AG128" i="3" s="1"/>
  <c r="AC122" i="3"/>
  <c r="AG122" i="3" s="1"/>
  <c r="AC124" i="3"/>
  <c r="AG124" i="3" s="1"/>
  <c r="AB128" i="3"/>
  <c r="AB129" i="3"/>
  <c r="AB131" i="3"/>
  <c r="AR86" i="3" l="1"/>
  <c r="AU86" i="3"/>
  <c r="AZ86" i="3"/>
  <c r="AT86" i="3"/>
  <c r="AV86" i="3" s="1"/>
  <c r="AY86" i="3"/>
  <c r="AQ86" i="3"/>
  <c r="AW86" i="3" s="1"/>
  <c r="BA86" i="3" s="1"/>
  <c r="AX86" i="3"/>
  <c r="AS86" i="3"/>
  <c r="AT84" i="3"/>
  <c r="AS84" i="3"/>
  <c r="AX84" i="3"/>
  <c r="AZ84" i="3"/>
  <c r="AY84" i="3"/>
  <c r="AU84" i="3"/>
  <c r="AQ84" i="3"/>
  <c r="AR84" i="3"/>
  <c r="AR85" i="3"/>
  <c r="AQ85" i="3"/>
  <c r="AW85" i="3" s="1"/>
  <c r="BA85" i="3" s="1"/>
  <c r="AU85" i="3"/>
  <c r="AT85" i="3"/>
  <c r="AV85" i="3" s="1"/>
  <c r="AX85" i="3"/>
  <c r="AY85" i="3"/>
  <c r="AZ85" i="3"/>
  <c r="AS85" i="3"/>
  <c r="U109" i="3"/>
  <c r="AB106" i="3"/>
  <c r="AC100" i="3"/>
  <c r="AG100" i="3" s="1"/>
  <c r="AB104" i="3"/>
  <c r="AB105" i="3"/>
  <c r="AC106" i="3"/>
  <c r="AG106" i="3" s="1"/>
  <c r="AD111" i="3"/>
  <c r="Z111" i="3"/>
  <c r="AF111" i="3"/>
  <c r="Y111" i="3"/>
  <c r="W111" i="3"/>
  <c r="AA111" i="3"/>
  <c r="AE111" i="3"/>
  <c r="X111" i="3"/>
  <c r="AI34" i="3"/>
  <c r="AK33" i="3"/>
  <c r="AL33" i="3"/>
  <c r="AK32" i="3"/>
  <c r="AJ31" i="3"/>
  <c r="AH31" i="3"/>
  <c r="AM32" i="3"/>
  <c r="AJ34" i="3"/>
  <c r="AL34" i="3"/>
  <c r="AK34" i="3"/>
  <c r="AJ33" i="3"/>
  <c r="AI32" i="3"/>
  <c r="AM31" i="3"/>
  <c r="AH32" i="3"/>
  <c r="AL32" i="3"/>
  <c r="AI31" i="3"/>
  <c r="AK31" i="3"/>
  <c r="AL31" i="3"/>
  <c r="AJ32" i="3"/>
  <c r="AH34" i="3"/>
  <c r="AI33" i="3"/>
  <c r="AM33" i="3"/>
  <c r="AH33" i="3"/>
  <c r="AM34" i="3"/>
  <c r="AD112" i="3"/>
  <c r="Y112" i="3"/>
  <c r="Z112" i="3"/>
  <c r="AA112" i="3"/>
  <c r="AF112" i="3"/>
  <c r="W112" i="3"/>
  <c r="X112" i="3"/>
  <c r="AE112" i="3"/>
  <c r="AE110" i="3"/>
  <c r="X110" i="3"/>
  <c r="AF110" i="3"/>
  <c r="AA110" i="3"/>
  <c r="AD110" i="3"/>
  <c r="Y110" i="3"/>
  <c r="Z110" i="3"/>
  <c r="W110" i="3"/>
  <c r="Z113" i="3"/>
  <c r="AA113" i="3"/>
  <c r="AE113" i="3"/>
  <c r="X113" i="3"/>
  <c r="AD113" i="3"/>
  <c r="AF113" i="3"/>
  <c r="Y113" i="3"/>
  <c r="W113" i="3"/>
  <c r="AC113" i="3" s="1"/>
  <c r="AG113" i="3" s="1"/>
  <c r="U96" i="3"/>
  <c r="U89" i="3"/>
  <c r="AC99" i="3"/>
  <c r="AG99" i="3" s="1"/>
  <c r="AV135" i="3"/>
  <c r="AB99" i="3"/>
  <c r="AB97" i="3"/>
  <c r="AB98" i="3"/>
  <c r="AC97" i="3"/>
  <c r="AG97" i="3" s="1"/>
  <c r="AA90" i="3"/>
  <c r="AE90" i="3"/>
  <c r="AF90" i="3"/>
  <c r="W90" i="3"/>
  <c r="AD90" i="3"/>
  <c r="Z90" i="3"/>
  <c r="X90" i="3"/>
  <c r="Y90" i="3"/>
  <c r="AC98" i="3"/>
  <c r="AG98" i="3" s="1"/>
  <c r="AE91" i="3"/>
  <c r="W91" i="3"/>
  <c r="Y91" i="3"/>
  <c r="AA91" i="3"/>
  <c r="AF91" i="3"/>
  <c r="Z91" i="3"/>
  <c r="AB91" i="3" s="1"/>
  <c r="AD91" i="3"/>
  <c r="X91" i="3"/>
  <c r="AB100" i="3"/>
  <c r="AF92" i="3"/>
  <c r="AA92" i="3"/>
  <c r="X92" i="3"/>
  <c r="Y92" i="3"/>
  <c r="AE92" i="3"/>
  <c r="AD92" i="3"/>
  <c r="Z92" i="3"/>
  <c r="W92" i="3"/>
  <c r="AD93" i="3"/>
  <c r="Z93" i="3"/>
  <c r="AE93" i="3"/>
  <c r="Y93" i="3"/>
  <c r="AF93" i="3"/>
  <c r="W93" i="3"/>
  <c r="AA93" i="3"/>
  <c r="X93" i="3"/>
  <c r="BF119" i="3"/>
  <c r="BD119" i="3"/>
  <c r="BC119" i="3"/>
  <c r="BG119" i="3"/>
  <c r="BB119" i="3"/>
  <c r="BH131" i="3"/>
  <c r="BH149" i="3"/>
  <c r="BB123" i="3"/>
  <c r="BF125" i="3"/>
  <c r="BB125" i="3"/>
  <c r="BG125" i="3"/>
  <c r="BC125" i="3"/>
  <c r="BB155" i="3"/>
  <c r="AV136" i="3"/>
  <c r="AO133" i="3"/>
  <c r="AV137" i="3"/>
  <c r="BB154" i="3"/>
  <c r="BI58" i="3"/>
  <c r="AW137" i="3"/>
  <c r="BA137" i="3" s="1"/>
  <c r="AW136" i="3"/>
  <c r="BA136" i="3" s="1"/>
  <c r="BH111" i="3"/>
  <c r="BH32" i="3" s="1"/>
  <c r="BH113" i="3"/>
  <c r="BH34" i="3" s="1"/>
  <c r="BH112" i="3"/>
  <c r="BH33" i="3" s="1"/>
  <c r="BE153" i="3"/>
  <c r="BI33" i="3"/>
  <c r="BH107" i="3"/>
  <c r="BH28" i="3" s="1"/>
  <c r="BH93" i="3"/>
  <c r="BH14" i="3" s="1"/>
  <c r="AB85" i="3"/>
  <c r="AH137" i="3"/>
  <c r="AH154" i="3"/>
  <c r="AH149" i="3"/>
  <c r="AC84" i="3"/>
  <c r="AG84" i="3" s="1"/>
  <c r="AH147" i="3"/>
  <c r="AM148" i="3"/>
  <c r="AM149" i="3"/>
  <c r="AK149" i="3"/>
  <c r="AJ147" i="3"/>
  <c r="AK146" i="3"/>
  <c r="AI148" i="3"/>
  <c r="AI149" i="3"/>
  <c r="AJ149" i="3"/>
  <c r="AK147" i="3"/>
  <c r="AM147" i="3"/>
  <c r="AJ146" i="3"/>
  <c r="AJ148" i="3"/>
  <c r="AI147" i="3"/>
  <c r="AL146" i="3"/>
  <c r="AM146" i="3"/>
  <c r="AL148" i="3"/>
  <c r="AK148" i="3"/>
  <c r="AL149" i="3"/>
  <c r="AL147" i="3"/>
  <c r="AI146" i="3"/>
  <c r="AH146" i="3"/>
  <c r="AH155" i="3"/>
  <c r="AH148" i="3"/>
  <c r="AH141" i="3"/>
  <c r="AH142" i="3"/>
  <c r="AJ136" i="3"/>
  <c r="AI136" i="3"/>
  <c r="AJ134" i="3"/>
  <c r="AI135" i="3"/>
  <c r="AL135" i="3"/>
  <c r="AM137" i="3"/>
  <c r="AK137" i="3"/>
  <c r="AL136" i="3"/>
  <c r="AL134" i="3"/>
  <c r="AI134" i="3"/>
  <c r="AI137" i="3"/>
  <c r="AJ137" i="3"/>
  <c r="AK136" i="3"/>
  <c r="AM134" i="3"/>
  <c r="AH134" i="3"/>
  <c r="AJ135" i="3"/>
  <c r="AM136" i="3"/>
  <c r="AK134" i="3"/>
  <c r="AK135" i="3"/>
  <c r="AM135" i="3"/>
  <c r="AL137" i="3"/>
  <c r="AL152" i="3"/>
  <c r="AK152" i="3"/>
  <c r="AL154" i="3"/>
  <c r="AK153" i="3"/>
  <c r="AI153" i="3"/>
  <c r="AJ152" i="3"/>
  <c r="AM152" i="3"/>
  <c r="AL155" i="3"/>
  <c r="AK154" i="3"/>
  <c r="AM153" i="3"/>
  <c r="AL153" i="3"/>
  <c r="AI152" i="3"/>
  <c r="AM155" i="3"/>
  <c r="AK155" i="3"/>
  <c r="AM154" i="3"/>
  <c r="AH152" i="3"/>
  <c r="AI155" i="3"/>
  <c r="AJ155" i="3"/>
  <c r="AJ154" i="3"/>
  <c r="AI154" i="3"/>
  <c r="AJ153" i="3"/>
  <c r="AH136" i="3"/>
  <c r="AM142" i="3"/>
  <c r="AM140" i="3"/>
  <c r="AK141" i="3"/>
  <c r="AI141" i="3"/>
  <c r="AI142" i="3"/>
  <c r="AI140" i="3"/>
  <c r="AK143" i="3"/>
  <c r="AM141" i="3"/>
  <c r="AL141" i="3"/>
  <c r="AJ142" i="3"/>
  <c r="AL140" i="3"/>
  <c r="AH140" i="3"/>
  <c r="AM143" i="3"/>
  <c r="AL143" i="3"/>
  <c r="AK142" i="3"/>
  <c r="AL142" i="3"/>
  <c r="AJ140" i="3"/>
  <c r="AK140" i="3"/>
  <c r="AI143" i="3"/>
  <c r="AJ143" i="3"/>
  <c r="AJ141" i="3"/>
  <c r="AH135" i="3"/>
  <c r="AH143" i="3"/>
  <c r="AH153" i="3"/>
  <c r="AB86" i="3"/>
  <c r="BB153" i="3"/>
  <c r="BC154" i="3"/>
  <c r="BD154" i="3"/>
  <c r="BE155" i="3"/>
  <c r="BF155" i="3"/>
  <c r="BD153" i="3"/>
  <c r="BE154" i="3"/>
  <c r="BF154" i="3"/>
  <c r="BD155" i="3"/>
  <c r="BC155" i="3"/>
  <c r="BG154" i="3"/>
  <c r="BC153" i="3"/>
  <c r="BF153" i="3"/>
  <c r="BG155" i="3"/>
  <c r="BG153" i="3"/>
  <c r="AB83" i="3"/>
  <c r="AB84" i="3"/>
  <c r="BH148" i="3"/>
  <c r="BH147" i="3"/>
  <c r="BH105" i="3"/>
  <c r="BH26" i="3" s="1"/>
  <c r="BH106" i="3"/>
  <c r="BH27" i="3" s="1"/>
  <c r="AC83" i="3"/>
  <c r="AG83" i="3" s="1"/>
  <c r="U82" i="3"/>
  <c r="AC86" i="3"/>
  <c r="AG86" i="3" s="1"/>
  <c r="AC85" i="3"/>
  <c r="AG85" i="3" s="1"/>
  <c r="AC118" i="3"/>
  <c r="AG118" i="3" s="1"/>
  <c r="AC119" i="3"/>
  <c r="AG119" i="3" s="1"/>
  <c r="AC117" i="3"/>
  <c r="AG117" i="3" s="1"/>
  <c r="AB118" i="3"/>
  <c r="AB117" i="3"/>
  <c r="U115" i="3"/>
  <c r="AB116" i="3"/>
  <c r="AC116" i="3"/>
  <c r="AG116" i="3" s="1"/>
  <c r="AB119" i="3"/>
  <c r="BB118" i="3"/>
  <c r="BF118" i="3"/>
  <c r="BD118" i="3"/>
  <c r="BE118" i="3"/>
  <c r="BE117" i="3"/>
  <c r="BG117" i="3"/>
  <c r="BG118" i="3"/>
  <c r="BC118" i="3"/>
  <c r="BH98" i="3"/>
  <c r="BH19" i="3" s="1"/>
  <c r="BD117" i="3"/>
  <c r="BC117" i="3"/>
  <c r="BF117" i="3"/>
  <c r="BH91" i="3"/>
  <c r="BH12" i="3" s="1"/>
  <c r="BH92" i="3"/>
  <c r="BH13" i="3" s="1"/>
  <c r="BH99" i="3"/>
  <c r="BH20" i="3" s="1"/>
  <c r="BH100" i="3"/>
  <c r="BH21" i="3" s="1"/>
  <c r="BH124" i="3"/>
  <c r="BH123" i="3"/>
  <c r="BH44" i="3" s="1"/>
  <c r="BH130" i="3"/>
  <c r="BH129" i="3"/>
  <c r="BH50" i="3" s="1"/>
  <c r="AH124" i="3"/>
  <c r="AI129" i="3"/>
  <c r="AH130" i="3"/>
  <c r="AI130" i="3"/>
  <c r="AK130" i="3"/>
  <c r="AL130" i="3"/>
  <c r="AJ130" i="3"/>
  <c r="AM130" i="3"/>
  <c r="AK129" i="3"/>
  <c r="AH123" i="3"/>
  <c r="AH122" i="3"/>
  <c r="AI124" i="3"/>
  <c r="AJ124" i="3"/>
  <c r="AK122" i="3"/>
  <c r="AK123" i="3"/>
  <c r="AK124" i="3"/>
  <c r="AL122" i="3"/>
  <c r="AI125" i="3"/>
  <c r="AK125" i="3"/>
  <c r="AL125" i="3"/>
  <c r="AI122" i="3"/>
  <c r="AJ123" i="3"/>
  <c r="AL123" i="3"/>
  <c r="AM122" i="3"/>
  <c r="AJ122" i="3"/>
  <c r="AJ125" i="3"/>
  <c r="AM124" i="3"/>
  <c r="AI123" i="3"/>
  <c r="AM125" i="3"/>
  <c r="AM123" i="3"/>
  <c r="AL124" i="3"/>
  <c r="AH125" i="3"/>
  <c r="AJ129" i="3"/>
  <c r="AK131" i="3"/>
  <c r="AM131" i="3"/>
  <c r="AJ131" i="3"/>
  <c r="AI131" i="3"/>
  <c r="AL131" i="3"/>
  <c r="AM129" i="3"/>
  <c r="AL129" i="3"/>
  <c r="AJ128" i="3"/>
  <c r="AI128" i="3"/>
  <c r="AH128" i="3"/>
  <c r="AK128" i="3"/>
  <c r="AH131" i="3"/>
  <c r="AL128" i="3"/>
  <c r="AM128" i="3"/>
  <c r="AH129" i="3"/>
  <c r="AW84" i="3" l="1"/>
  <c r="BA84" i="3" s="1"/>
  <c r="AV84" i="3"/>
  <c r="AC112" i="3"/>
  <c r="AG112" i="3" s="1"/>
  <c r="AL107" i="3"/>
  <c r="AM105" i="3"/>
  <c r="AL105" i="3"/>
  <c r="AJ105" i="3"/>
  <c r="AJ107" i="3"/>
  <c r="AL106" i="3"/>
  <c r="AK107" i="3"/>
  <c r="AH106" i="3"/>
  <c r="AM104" i="3"/>
  <c r="AI104" i="3"/>
  <c r="AL104" i="3"/>
  <c r="AJ106" i="3"/>
  <c r="AH107" i="3"/>
  <c r="AI105" i="3"/>
  <c r="AM106" i="3"/>
  <c r="AM107" i="3"/>
  <c r="AK105" i="3"/>
  <c r="AK104" i="3"/>
  <c r="AH104" i="3"/>
  <c r="AK106" i="3"/>
  <c r="AJ104" i="3"/>
  <c r="AH105" i="3"/>
  <c r="AI107" i="3"/>
  <c r="AI106" i="3"/>
  <c r="AC110" i="3"/>
  <c r="AG110" i="3" s="1"/>
  <c r="AB110" i="3"/>
  <c r="AB112" i="3"/>
  <c r="AB111" i="3"/>
  <c r="AB113" i="3"/>
  <c r="AC111" i="3"/>
  <c r="AG111" i="3" s="1"/>
  <c r="AB92" i="3"/>
  <c r="AC90" i="3"/>
  <c r="AG90" i="3" s="1"/>
  <c r="AC92" i="3"/>
  <c r="AG92" i="3" s="1"/>
  <c r="AB90" i="3"/>
  <c r="AK100" i="3"/>
  <c r="AI100" i="3"/>
  <c r="AL100" i="3"/>
  <c r="AJ100" i="3"/>
  <c r="AM100" i="3"/>
  <c r="AI98" i="3"/>
  <c r="AJ98" i="3"/>
  <c r="AM98" i="3"/>
  <c r="AK98" i="3"/>
  <c r="AH98" i="3"/>
  <c r="AL98" i="3"/>
  <c r="AC93" i="3"/>
  <c r="AG93" i="3" s="1"/>
  <c r="AJ97" i="3"/>
  <c r="AI97" i="3"/>
  <c r="AK99" i="3"/>
  <c r="AH100" i="3"/>
  <c r="AM97" i="3"/>
  <c r="AI99" i="3"/>
  <c r="AL99" i="3"/>
  <c r="AM99" i="3"/>
  <c r="AK97" i="3"/>
  <c r="AH97" i="3"/>
  <c r="AH99" i="3"/>
  <c r="AL97" i="3"/>
  <c r="AJ99" i="3"/>
  <c r="AB93" i="3"/>
  <c r="AC91" i="3"/>
  <c r="AG91" i="3" s="1"/>
  <c r="BH119" i="3"/>
  <c r="BH40" i="3" s="1"/>
  <c r="BI52" i="3"/>
  <c r="BH155" i="3"/>
  <c r="BI14" i="3"/>
  <c r="BH125" i="3"/>
  <c r="BI44" i="3" s="1"/>
  <c r="BI32" i="3"/>
  <c r="BI46" i="3"/>
  <c r="BI68" i="3"/>
  <c r="BI70" i="3"/>
  <c r="BI69" i="3"/>
  <c r="BI28" i="3"/>
  <c r="BI34" i="3"/>
  <c r="BI21" i="3"/>
  <c r="BC136" i="3"/>
  <c r="BF136" i="3"/>
  <c r="BE136" i="3"/>
  <c r="BD136" i="3"/>
  <c r="BB136" i="3"/>
  <c r="BG136" i="3"/>
  <c r="BB137" i="3"/>
  <c r="BD137" i="3"/>
  <c r="BC137" i="3"/>
  <c r="BG137" i="3"/>
  <c r="BF137" i="3"/>
  <c r="BE137" i="3"/>
  <c r="BH154" i="3"/>
  <c r="BH153" i="3"/>
  <c r="BI76" i="3" s="1"/>
  <c r="BI13" i="3"/>
  <c r="BI12" i="3"/>
  <c r="BI26" i="3"/>
  <c r="BI27" i="3"/>
  <c r="AM85" i="3"/>
  <c r="AJ84" i="3"/>
  <c r="AM84" i="3"/>
  <c r="AH83" i="3"/>
  <c r="AI83" i="3"/>
  <c r="AH85" i="3"/>
  <c r="AK85" i="3"/>
  <c r="AK84" i="3"/>
  <c r="AJ83" i="3"/>
  <c r="AM83" i="3"/>
  <c r="AJ85" i="3"/>
  <c r="AL85" i="3"/>
  <c r="AK83" i="3"/>
  <c r="AI84" i="3"/>
  <c r="AH84" i="3"/>
  <c r="AL83" i="3"/>
  <c r="AI85" i="3"/>
  <c r="AL84" i="3"/>
  <c r="AM86" i="3"/>
  <c r="AK86" i="3"/>
  <c r="AL86" i="3"/>
  <c r="AJ86" i="3"/>
  <c r="AI86" i="3"/>
  <c r="AH86" i="3"/>
  <c r="AN134" i="3"/>
  <c r="AN55" i="3" s="1"/>
  <c r="AN152" i="3"/>
  <c r="AN73" i="3" s="1"/>
  <c r="AN137" i="3"/>
  <c r="AN58" i="3" s="1"/>
  <c r="AN140" i="3"/>
  <c r="AN61" i="3" s="1"/>
  <c r="AN135" i="3"/>
  <c r="AN56" i="3" s="1"/>
  <c r="AN136" i="3"/>
  <c r="AN57" i="3" s="1"/>
  <c r="AN146" i="3"/>
  <c r="AN67" i="3" s="1"/>
  <c r="AN147" i="3"/>
  <c r="AN68" i="3" s="1"/>
  <c r="AN155" i="3"/>
  <c r="AN76" i="3" s="1"/>
  <c r="AM118" i="3"/>
  <c r="AN149" i="3"/>
  <c r="AN70" i="3" s="1"/>
  <c r="AN142" i="3"/>
  <c r="AN63" i="3" s="1"/>
  <c r="AK119" i="3"/>
  <c r="AN141" i="3"/>
  <c r="AN62" i="3" s="1"/>
  <c r="AN143" i="3"/>
  <c r="AN64" i="3" s="1"/>
  <c r="AN148" i="3"/>
  <c r="AN69" i="3" s="1"/>
  <c r="AN154" i="3"/>
  <c r="AN75" i="3" s="1"/>
  <c r="AN153" i="3"/>
  <c r="AN74" i="3" s="1"/>
  <c r="AH118" i="3"/>
  <c r="AM119" i="3"/>
  <c r="AI119" i="3"/>
  <c r="AH119" i="3"/>
  <c r="AJ119" i="3"/>
  <c r="AL119" i="3"/>
  <c r="AK117" i="3"/>
  <c r="AJ116" i="3"/>
  <c r="AI116" i="3"/>
  <c r="AH117" i="3"/>
  <c r="AL116" i="3"/>
  <c r="AI117" i="3"/>
  <c r="AK116" i="3"/>
  <c r="AM117" i="3"/>
  <c r="AJ117" i="3"/>
  <c r="AM116" i="3"/>
  <c r="AH116" i="3"/>
  <c r="AL117" i="3"/>
  <c r="AK118" i="3"/>
  <c r="AL118" i="3"/>
  <c r="AI118" i="3"/>
  <c r="AJ118" i="3"/>
  <c r="BI20" i="3"/>
  <c r="BH117" i="3"/>
  <c r="BH38" i="3" s="1"/>
  <c r="BH118" i="3"/>
  <c r="BH39" i="3" s="1"/>
  <c r="BI19" i="3"/>
  <c r="BI45" i="3"/>
  <c r="BI50" i="3"/>
  <c r="BI51" i="3"/>
  <c r="AN131" i="3"/>
  <c r="AN52" i="3" s="1"/>
  <c r="AN129" i="3"/>
  <c r="AN50" i="3" s="1"/>
  <c r="AN124" i="3"/>
  <c r="AN45" i="3" s="1"/>
  <c r="AN130" i="3"/>
  <c r="AN51" i="3" s="1"/>
  <c r="AN128" i="3"/>
  <c r="AN49" i="3" s="1"/>
  <c r="AN125" i="3"/>
  <c r="AN46" i="3" s="1"/>
  <c r="AN122" i="3"/>
  <c r="AN43" i="3" s="1"/>
  <c r="AN123" i="3"/>
  <c r="AN44" i="3" s="1"/>
  <c r="BC86" i="3" l="1"/>
  <c r="BC84" i="3"/>
  <c r="BD84" i="3"/>
  <c r="BD86" i="3"/>
  <c r="BG84" i="3"/>
  <c r="BC85" i="3"/>
  <c r="BG85" i="3"/>
  <c r="BE85" i="3"/>
  <c r="BB84" i="3"/>
  <c r="BF86" i="3"/>
  <c r="BG86" i="3"/>
  <c r="BF85" i="3"/>
  <c r="BF84" i="3"/>
  <c r="BE86" i="3"/>
  <c r="BB85" i="3"/>
  <c r="BB86" i="3"/>
  <c r="BD85" i="3"/>
  <c r="BE84" i="3"/>
  <c r="AN107" i="3"/>
  <c r="AN28" i="3" s="1"/>
  <c r="AN105" i="3"/>
  <c r="AN26" i="3" s="1"/>
  <c r="AN104" i="3"/>
  <c r="AN25" i="3" s="1"/>
  <c r="AN106" i="3"/>
  <c r="AN27" i="3" s="1"/>
  <c r="AH92" i="3"/>
  <c r="AM111" i="3"/>
  <c r="AJ111" i="3"/>
  <c r="AH111" i="3"/>
  <c r="AI111" i="3"/>
  <c r="AL111" i="3"/>
  <c r="AK111" i="3"/>
  <c r="AL113" i="3"/>
  <c r="AI113" i="3"/>
  <c r="AJ113" i="3"/>
  <c r="AK113" i="3"/>
  <c r="AM113" i="3"/>
  <c r="AM112" i="3"/>
  <c r="AK112" i="3"/>
  <c r="AI112" i="3"/>
  <c r="AL112" i="3"/>
  <c r="AJ112" i="3"/>
  <c r="AH112" i="3"/>
  <c r="AM110" i="3"/>
  <c r="AH113" i="3"/>
  <c r="AH110" i="3"/>
  <c r="AK110" i="3"/>
  <c r="AI110" i="3"/>
  <c r="AL110" i="3"/>
  <c r="AJ110" i="3"/>
  <c r="AN100" i="3"/>
  <c r="AN21" i="3" s="1"/>
  <c r="AN99" i="3"/>
  <c r="AN20" i="3" s="1"/>
  <c r="AL90" i="3"/>
  <c r="AL93" i="3"/>
  <c r="AI93" i="3"/>
  <c r="AH93" i="3"/>
  <c r="AM93" i="3"/>
  <c r="AJ93" i="3"/>
  <c r="AK93" i="3"/>
  <c r="AL92" i="3"/>
  <c r="AH91" i="3"/>
  <c r="AM91" i="3"/>
  <c r="AJ91" i="3"/>
  <c r="AH90" i="3"/>
  <c r="AM90" i="3"/>
  <c r="AK91" i="3"/>
  <c r="AL91" i="3"/>
  <c r="AJ90" i="3"/>
  <c r="AI91" i="3"/>
  <c r="AI92" i="3"/>
  <c r="AK90" i="3"/>
  <c r="AM92" i="3"/>
  <c r="AN97" i="3"/>
  <c r="AN18" i="3" s="1"/>
  <c r="AJ92" i="3"/>
  <c r="AK92" i="3"/>
  <c r="AN98" i="3"/>
  <c r="AN19" i="3" s="1"/>
  <c r="AI90" i="3"/>
  <c r="BI39" i="3"/>
  <c r="BI40" i="3"/>
  <c r="BH137" i="3"/>
  <c r="BH136" i="3"/>
  <c r="BI74" i="3"/>
  <c r="BI75" i="3"/>
  <c r="AO70" i="3"/>
  <c r="CX70" i="3" s="1"/>
  <c r="AO64" i="3"/>
  <c r="CX64" i="3" s="1"/>
  <c r="AO58" i="3"/>
  <c r="CX58" i="3" s="1"/>
  <c r="AO57" i="3"/>
  <c r="AO76" i="3"/>
  <c r="CX76" i="3" s="1"/>
  <c r="AO63" i="3"/>
  <c r="CX63" i="3" s="1"/>
  <c r="AO67" i="3"/>
  <c r="CX67" i="3" s="1"/>
  <c r="AO55" i="3"/>
  <c r="CX55" i="3" s="1"/>
  <c r="AO69" i="3"/>
  <c r="CX69" i="3" s="1"/>
  <c r="AN86" i="3"/>
  <c r="AN7" i="3" s="1"/>
  <c r="AN83" i="3"/>
  <c r="AN4" i="3" s="1"/>
  <c r="AN84" i="3"/>
  <c r="AN5" i="3" s="1"/>
  <c r="AN85" i="3"/>
  <c r="AN6" i="3" s="1"/>
  <c r="AO62" i="3"/>
  <c r="CX62" i="3" s="1"/>
  <c r="AO56" i="3"/>
  <c r="AO68" i="3"/>
  <c r="CX68" i="3" s="1"/>
  <c r="AO61" i="3"/>
  <c r="CX61" i="3" s="1"/>
  <c r="AO73" i="3"/>
  <c r="CX73" i="3" s="1"/>
  <c r="AO75" i="3"/>
  <c r="AO74" i="3"/>
  <c r="AN119" i="3"/>
  <c r="AN40" i="3" s="1"/>
  <c r="AN118" i="3"/>
  <c r="AN39" i="3" s="1"/>
  <c r="AN116" i="3"/>
  <c r="AN37" i="3" s="1"/>
  <c r="AN117" i="3"/>
  <c r="AN38" i="3" s="1"/>
  <c r="BI38" i="3"/>
  <c r="AO45" i="3"/>
  <c r="CX45" i="3" s="1"/>
  <c r="AO46" i="3"/>
  <c r="CX46" i="3" s="1"/>
  <c r="AO44" i="3"/>
  <c r="CX44" i="3" s="1"/>
  <c r="AO43" i="3"/>
  <c r="CX43" i="3" s="1"/>
  <c r="AO50" i="3"/>
  <c r="CX50" i="3" s="1"/>
  <c r="AO51" i="3"/>
  <c r="CX51" i="3" s="1"/>
  <c r="AO49" i="3"/>
  <c r="CX49" i="3" s="1"/>
  <c r="AO52" i="3"/>
  <c r="CX52" i="3" s="1"/>
  <c r="BH86" i="3" l="1"/>
  <c r="BH7" i="3" s="1"/>
  <c r="BH85" i="3"/>
  <c r="BH6" i="3" s="1"/>
  <c r="BH84" i="3"/>
  <c r="BH5" i="3" s="1"/>
  <c r="AO28" i="3"/>
  <c r="CX28" i="3" s="1"/>
  <c r="AO27" i="3"/>
  <c r="CX27" i="3" s="1"/>
  <c r="AO25" i="3"/>
  <c r="CX25" i="3" s="1"/>
  <c r="AO26" i="3"/>
  <c r="CX26" i="3" s="1"/>
  <c r="AN112" i="3"/>
  <c r="AN33" i="3" s="1"/>
  <c r="AN110" i="3"/>
  <c r="AN31" i="3" s="1"/>
  <c r="AN113" i="3"/>
  <c r="AN34" i="3" s="1"/>
  <c r="AN111" i="3"/>
  <c r="AN32" i="3" s="1"/>
  <c r="AN92" i="3"/>
  <c r="AN13" i="3" s="1"/>
  <c r="AN90" i="3"/>
  <c r="AN11" i="3" s="1"/>
  <c r="AN93" i="3"/>
  <c r="AN14" i="3" s="1"/>
  <c r="AO20" i="3"/>
  <c r="CX20" i="3" s="1"/>
  <c r="AO19" i="3"/>
  <c r="CX19" i="3" s="1"/>
  <c r="AO21" i="3"/>
  <c r="CX21" i="3" s="1"/>
  <c r="AO18" i="3"/>
  <c r="CX18" i="3" s="1"/>
  <c r="AN91" i="3"/>
  <c r="AN12" i="3" s="1"/>
  <c r="CX75" i="3"/>
  <c r="CX74" i="3"/>
  <c r="BI57" i="3"/>
  <c r="CX57" i="3" s="1"/>
  <c r="BI56" i="3"/>
  <c r="CX56" i="3" s="1"/>
  <c r="B55" i="3" s="1"/>
  <c r="AO40" i="3"/>
  <c r="CX40" i="3" s="1"/>
  <c r="B62" i="3"/>
  <c r="B64" i="3"/>
  <c r="B70" i="3"/>
  <c r="B63" i="3"/>
  <c r="B69" i="3"/>
  <c r="B67" i="3"/>
  <c r="AO5" i="3"/>
  <c r="AO7" i="3"/>
  <c r="AO4" i="3"/>
  <c r="CX4" i="3" s="1"/>
  <c r="AO6" i="3"/>
  <c r="B61" i="3"/>
  <c r="B68" i="3"/>
  <c r="AO38" i="3"/>
  <c r="CX38" i="3" s="1"/>
  <c r="AO39" i="3"/>
  <c r="CX39" i="3" s="1"/>
  <c r="AO37" i="3"/>
  <c r="CX37" i="3" s="1"/>
  <c r="B44" i="3"/>
  <c r="B45" i="3"/>
  <c r="B46" i="3"/>
  <c r="B43" i="3"/>
  <c r="B51" i="3"/>
  <c r="B50" i="3"/>
  <c r="B49" i="3"/>
  <c r="B52" i="3"/>
  <c r="BI7" i="3" l="1"/>
  <c r="CX7" i="3" s="1"/>
  <c r="BI5" i="3"/>
  <c r="CX5" i="3" s="1"/>
  <c r="BI6" i="3"/>
  <c r="CX6" i="3" s="1"/>
  <c r="B26" i="3"/>
  <c r="B27" i="3"/>
  <c r="B25" i="3"/>
  <c r="Y23" i="2" s="1"/>
  <c r="B28" i="3"/>
  <c r="B76" i="3"/>
  <c r="AO34" i="3"/>
  <c r="CX34" i="3" s="1"/>
  <c r="AO33" i="3"/>
  <c r="CX33" i="3" s="1"/>
  <c r="AO32" i="3"/>
  <c r="CX32" i="3" s="1"/>
  <c r="AO31" i="3"/>
  <c r="CX31" i="3" s="1"/>
  <c r="B18" i="3"/>
  <c r="B74" i="3"/>
  <c r="B73" i="3"/>
  <c r="B20" i="3"/>
  <c r="B19" i="3"/>
  <c r="B75" i="3"/>
  <c r="B21" i="3"/>
  <c r="AO14" i="3"/>
  <c r="CX14" i="3" s="1"/>
  <c r="AO13" i="3"/>
  <c r="CX13" i="3" s="1"/>
  <c r="AO12" i="3"/>
  <c r="CX12" i="3" s="1"/>
  <c r="AO11" i="3"/>
  <c r="CX11" i="3" s="1"/>
  <c r="B57" i="3"/>
  <c r="B56" i="3"/>
  <c r="B58" i="3"/>
  <c r="D667" i="3"/>
  <c r="L667" i="3" s="1"/>
  <c r="D664" i="3"/>
  <c r="L664" i="3" s="1"/>
  <c r="D679" i="3"/>
  <c r="X23" i="2"/>
  <c r="D683" i="3"/>
  <c r="D668" i="3"/>
  <c r="L668" i="3" s="1"/>
  <c r="D665" i="3"/>
  <c r="L665" i="3" s="1"/>
  <c r="Z49" i="2"/>
  <c r="Z47" i="2"/>
  <c r="Z48" i="2"/>
  <c r="AA49" i="2"/>
  <c r="AA50" i="2"/>
  <c r="AA48" i="2"/>
  <c r="Z50" i="2"/>
  <c r="AA47" i="2"/>
  <c r="Z67" i="2"/>
  <c r="Z65" i="2"/>
  <c r="Z66" i="2"/>
  <c r="AA67" i="2"/>
  <c r="AA68" i="2"/>
  <c r="AA66" i="2"/>
  <c r="Z68" i="2"/>
  <c r="AA65" i="2"/>
  <c r="Z61" i="2"/>
  <c r="Z59" i="2"/>
  <c r="Z60" i="2"/>
  <c r="AA61" i="2"/>
  <c r="AA62" i="2"/>
  <c r="AA60" i="2"/>
  <c r="Z62" i="2"/>
  <c r="AA59" i="2"/>
  <c r="Z43" i="2"/>
  <c r="Z41" i="2"/>
  <c r="Z42" i="2"/>
  <c r="AA43" i="2"/>
  <c r="AA44" i="2"/>
  <c r="AA42" i="2"/>
  <c r="Z44" i="2"/>
  <c r="AA41" i="2"/>
  <c r="W59" i="2"/>
  <c r="X62" i="2"/>
  <c r="B4" i="3"/>
  <c r="T65" i="2"/>
  <c r="X61" i="2"/>
  <c r="T59" i="2"/>
  <c r="W65" i="2"/>
  <c r="X59" i="2"/>
  <c r="AB65" i="2"/>
  <c r="W67" i="2"/>
  <c r="Y65" i="2"/>
  <c r="T67" i="2"/>
  <c r="X65" i="2"/>
  <c r="Y67" i="2"/>
  <c r="Y62" i="2"/>
  <c r="AB59" i="2"/>
  <c r="T60" i="2"/>
  <c r="AB61" i="2"/>
  <c r="T62" i="2"/>
  <c r="X66" i="2"/>
  <c r="AB68" i="2"/>
  <c r="AB66" i="2"/>
  <c r="AB67" i="2"/>
  <c r="W68" i="2"/>
  <c r="X67" i="2"/>
  <c r="Y59" i="2"/>
  <c r="X60" i="2"/>
  <c r="AB60" i="2"/>
  <c r="Y60" i="2"/>
  <c r="W60" i="2"/>
  <c r="Y61" i="2"/>
  <c r="T61" i="2"/>
  <c r="AB62" i="2"/>
  <c r="W61" i="2"/>
  <c r="W62" i="2"/>
  <c r="B38" i="3"/>
  <c r="Y68" i="2"/>
  <c r="T68" i="2"/>
  <c r="X68" i="2"/>
  <c r="Y66" i="2"/>
  <c r="W66" i="2"/>
  <c r="T66" i="2"/>
  <c r="B39" i="3"/>
  <c r="B37" i="3"/>
  <c r="B40" i="3"/>
  <c r="W44" i="2"/>
  <c r="T43" i="2"/>
  <c r="AB42" i="2"/>
  <c r="X44" i="2"/>
  <c r="T44" i="2"/>
  <c r="Y41" i="2"/>
  <c r="Y42" i="2"/>
  <c r="W43" i="2"/>
  <c r="X41" i="2"/>
  <c r="X43" i="2"/>
  <c r="Y43" i="2"/>
  <c r="X42" i="2"/>
  <c r="T42" i="2"/>
  <c r="AB44" i="2"/>
  <c r="T41" i="2"/>
  <c r="Y44" i="2"/>
  <c r="AB43" i="2"/>
  <c r="W41" i="2"/>
  <c r="AB41" i="2"/>
  <c r="W42" i="2"/>
  <c r="T47" i="2"/>
  <c r="Y47" i="2"/>
  <c r="AB47" i="2"/>
  <c r="T48" i="2"/>
  <c r="Y48" i="2"/>
  <c r="W50" i="2"/>
  <c r="Y49" i="2"/>
  <c r="W49" i="2"/>
  <c r="Y50" i="2"/>
  <c r="AB50" i="2"/>
  <c r="X47" i="2"/>
  <c r="AB49" i="2"/>
  <c r="T49" i="2"/>
  <c r="X50" i="2"/>
  <c r="W48" i="2"/>
  <c r="AB48" i="2"/>
  <c r="W47" i="2"/>
  <c r="X49" i="2"/>
  <c r="T50" i="2"/>
  <c r="X48" i="2"/>
  <c r="B5" i="3" l="1"/>
  <c r="B7" i="3"/>
  <c r="B6" i="3"/>
  <c r="Z26" i="2"/>
  <c r="AB25" i="2"/>
  <c r="K661" i="3" s="1"/>
  <c r="X26" i="2"/>
  <c r="T25" i="2"/>
  <c r="D661" i="3"/>
  <c r="L661" i="3" s="1"/>
  <c r="AA23" i="2"/>
  <c r="W24" i="2"/>
  <c r="X24" i="2"/>
  <c r="W26" i="2"/>
  <c r="X25" i="2"/>
  <c r="F661" i="3" s="1"/>
  <c r="AA25" i="2"/>
  <c r="I661" i="3" s="1"/>
  <c r="W25" i="2"/>
  <c r="E661" i="3" s="1"/>
  <c r="T23" i="2"/>
  <c r="Y25" i="2"/>
  <c r="G661" i="3" s="1"/>
  <c r="Z24" i="2"/>
  <c r="T24" i="2"/>
  <c r="Y26" i="2"/>
  <c r="AA24" i="2"/>
  <c r="Z23" i="2"/>
  <c r="W23" i="2"/>
  <c r="V23" i="2" s="1"/>
  <c r="D676" i="3"/>
  <c r="T26" i="2"/>
  <c r="AB24" i="2"/>
  <c r="AB26" i="2"/>
  <c r="Y24" i="2"/>
  <c r="AA26" i="2"/>
  <c r="Z25" i="2"/>
  <c r="H661" i="3" s="1"/>
  <c r="AB23" i="2"/>
  <c r="Z72" i="2"/>
  <c r="Z18" i="2"/>
  <c r="B33" i="3"/>
  <c r="B34" i="3"/>
  <c r="B32" i="3"/>
  <c r="B31" i="3"/>
  <c r="X54" i="2"/>
  <c r="AA18" i="2"/>
  <c r="AA72" i="2"/>
  <c r="Y18" i="2"/>
  <c r="Z73" i="2"/>
  <c r="H669" i="3" s="1"/>
  <c r="AA71" i="2"/>
  <c r="AB18" i="2"/>
  <c r="T18" i="2"/>
  <c r="D669" i="3"/>
  <c r="L669" i="3" s="1"/>
  <c r="W18" i="2"/>
  <c r="X18" i="2"/>
  <c r="Z71" i="2"/>
  <c r="D684" i="3"/>
  <c r="T53" i="2"/>
  <c r="AA20" i="2"/>
  <c r="Y53" i="2"/>
  <c r="AA53" i="2"/>
  <c r="AA73" i="2"/>
  <c r="I669" i="3" s="1"/>
  <c r="AA17" i="2"/>
  <c r="D681" i="3"/>
  <c r="W20" i="2"/>
  <c r="X19" i="2"/>
  <c r="F660" i="3" s="1"/>
  <c r="Y20" i="2"/>
  <c r="W56" i="2"/>
  <c r="AB17" i="2"/>
  <c r="W19" i="2"/>
  <c r="E660" i="3" s="1"/>
  <c r="T20" i="2"/>
  <c r="AB56" i="2"/>
  <c r="X53" i="2"/>
  <c r="W17" i="2"/>
  <c r="Z56" i="2"/>
  <c r="Z20" i="2"/>
  <c r="AB20" i="2"/>
  <c r="AB19" i="2"/>
  <c r="K660" i="3" s="1"/>
  <c r="X56" i="2"/>
  <c r="Y17" i="2"/>
  <c r="Z53" i="2"/>
  <c r="D660" i="3"/>
  <c r="L660" i="3" s="1"/>
  <c r="Z19" i="2"/>
  <c r="H660" i="3" s="1"/>
  <c r="T56" i="2"/>
  <c r="W53" i="2"/>
  <c r="Y19" i="2"/>
  <c r="G660" i="3" s="1"/>
  <c r="X20" i="2"/>
  <c r="T19" i="2"/>
  <c r="Y56" i="2"/>
  <c r="AB53" i="2"/>
  <c r="T17" i="2"/>
  <c r="X17" i="2"/>
  <c r="Z17" i="2"/>
  <c r="AA19" i="2"/>
  <c r="I660" i="3" s="1"/>
  <c r="Z74" i="2"/>
  <c r="AA74" i="2"/>
  <c r="B14" i="3"/>
  <c r="B12" i="3"/>
  <c r="B11" i="3"/>
  <c r="B13" i="3"/>
  <c r="AA55" i="2"/>
  <c r="I666" i="3" s="1"/>
  <c r="AB55" i="2"/>
  <c r="K666" i="3" s="1"/>
  <c r="W54" i="2"/>
  <c r="Y55" i="2"/>
  <c r="G666" i="3" s="1"/>
  <c r="Z54" i="2"/>
  <c r="Y54" i="2"/>
  <c r="W55" i="2"/>
  <c r="D666" i="3"/>
  <c r="L666" i="3" s="1"/>
  <c r="T54" i="2"/>
  <c r="T55" i="2"/>
  <c r="X55" i="2"/>
  <c r="F666" i="3" s="1"/>
  <c r="AA56" i="2"/>
  <c r="Z55" i="2"/>
  <c r="H666" i="3" s="1"/>
  <c r="AB54" i="2"/>
  <c r="AA54" i="2"/>
  <c r="F665" i="3"/>
  <c r="K664" i="3"/>
  <c r="E667" i="3"/>
  <c r="K668" i="3"/>
  <c r="K667" i="3"/>
  <c r="H664" i="3"/>
  <c r="I668" i="3"/>
  <c r="I665" i="3"/>
  <c r="E664" i="3"/>
  <c r="I664" i="3"/>
  <c r="K665" i="3"/>
  <c r="G664" i="3"/>
  <c r="F668" i="3"/>
  <c r="G668" i="3"/>
  <c r="E668" i="3"/>
  <c r="H667" i="3"/>
  <c r="E665" i="3"/>
  <c r="G665" i="3"/>
  <c r="F664" i="3"/>
  <c r="G667" i="3"/>
  <c r="F667" i="3"/>
  <c r="I667" i="3"/>
  <c r="H668" i="3"/>
  <c r="H665" i="3"/>
  <c r="Y7" i="2"/>
  <c r="D663" i="3"/>
  <c r="L663" i="3" s="1"/>
  <c r="D673" i="3"/>
  <c r="D658" i="3"/>
  <c r="L658" i="3" s="1"/>
  <c r="Z37" i="2"/>
  <c r="Z35" i="2"/>
  <c r="Z36" i="2"/>
  <c r="AA37" i="2"/>
  <c r="AA38" i="2"/>
  <c r="AA36" i="2"/>
  <c r="Z38" i="2"/>
  <c r="AA35" i="2"/>
  <c r="Z7" i="2"/>
  <c r="AA5" i="2"/>
  <c r="Z8" i="2"/>
  <c r="AA7" i="2"/>
  <c r="AA8" i="2"/>
  <c r="AA6" i="2"/>
  <c r="Z6" i="2"/>
  <c r="Z5" i="2"/>
  <c r="W7" i="2"/>
  <c r="T7" i="2"/>
  <c r="W8" i="2"/>
  <c r="AB8" i="2"/>
  <c r="Y8" i="2"/>
  <c r="T8" i="2"/>
  <c r="X8" i="2"/>
  <c r="AB7" i="2"/>
  <c r="X7" i="2"/>
  <c r="Y5" i="2"/>
  <c r="T6" i="2"/>
  <c r="W5" i="2"/>
  <c r="X5" i="2"/>
  <c r="AB5" i="2"/>
  <c r="X6" i="2"/>
  <c r="T5" i="2"/>
  <c r="W6" i="2"/>
  <c r="AB6" i="2"/>
  <c r="Y6" i="2"/>
  <c r="Y74" i="2"/>
  <c r="AB73" i="2"/>
  <c r="W73" i="2"/>
  <c r="Y72" i="2"/>
  <c r="AB71" i="2"/>
  <c r="W71" i="2"/>
  <c r="T74" i="2"/>
  <c r="T72" i="2"/>
  <c r="X74" i="2"/>
  <c r="T73" i="2"/>
  <c r="X72" i="2"/>
  <c r="T71" i="2"/>
  <c r="W74" i="2"/>
  <c r="Y73" i="2"/>
  <c r="AB72" i="2"/>
  <c r="Y71" i="2"/>
  <c r="AB74" i="2"/>
  <c r="W72" i="2"/>
  <c r="X73" i="2"/>
  <c r="X71" i="2"/>
  <c r="T38" i="2"/>
  <c r="Y35" i="2"/>
  <c r="X35" i="2"/>
  <c r="W37" i="2"/>
  <c r="X37" i="2"/>
  <c r="AB37" i="2"/>
  <c r="AB35" i="2"/>
  <c r="T37" i="2"/>
  <c r="Y37" i="2"/>
  <c r="AB38" i="2"/>
  <c r="W35" i="2"/>
  <c r="Y36" i="2"/>
  <c r="T35" i="2"/>
  <c r="W38" i="2"/>
  <c r="W36" i="2"/>
  <c r="Y38" i="2"/>
  <c r="AB36" i="2"/>
  <c r="T36" i="2"/>
  <c r="X36" i="2"/>
  <c r="X38" i="2"/>
  <c r="V66" i="2"/>
  <c r="V61" i="2"/>
  <c r="V62" i="2"/>
  <c r="V65" i="2"/>
  <c r="V59" i="2"/>
  <c r="V60" i="2"/>
  <c r="V67" i="2"/>
  <c r="V68" i="2"/>
  <c r="V42" i="2"/>
  <c r="V41" i="2"/>
  <c r="V47" i="2"/>
  <c r="V50" i="2"/>
  <c r="V48" i="2"/>
  <c r="V49" i="2"/>
  <c r="V43" i="2"/>
  <c r="V44" i="2"/>
  <c r="V26" i="2" l="1"/>
  <c r="V24" i="2"/>
  <c r="V25" i="2"/>
  <c r="Z31" i="2"/>
  <c r="H662" i="3" s="1"/>
  <c r="AA32" i="2"/>
  <c r="T31" i="2"/>
  <c r="W29" i="2"/>
  <c r="AB29" i="2"/>
  <c r="D662" i="3"/>
  <c r="L662" i="3" s="1"/>
  <c r="Z29" i="2"/>
  <c r="AA30" i="2"/>
  <c r="T30" i="2"/>
  <c r="W31" i="2"/>
  <c r="X29" i="2"/>
  <c r="T29" i="2"/>
  <c r="Y29" i="2"/>
  <c r="W30" i="2"/>
  <c r="AB31" i="2"/>
  <c r="K662" i="3" s="1"/>
  <c r="D677" i="3"/>
  <c r="Z30" i="2"/>
  <c r="Z32" i="2"/>
  <c r="Y30" i="2"/>
  <c r="AB30" i="2"/>
  <c r="AB32" i="2"/>
  <c r="AA31" i="2"/>
  <c r="I662" i="3" s="1"/>
  <c r="AA29" i="2"/>
  <c r="Y32" i="2"/>
  <c r="X32" i="2"/>
  <c r="X30" i="2"/>
  <c r="T32" i="2"/>
  <c r="W32" i="2"/>
  <c r="X31" i="2"/>
  <c r="F662" i="3" s="1"/>
  <c r="Y31" i="2"/>
  <c r="G662" i="3" s="1"/>
  <c r="V19" i="2"/>
  <c r="V18" i="2"/>
  <c r="V54" i="2"/>
  <c r="V17" i="2"/>
  <c r="V56" i="2"/>
  <c r="V53" i="2"/>
  <c r="V20" i="2"/>
  <c r="J660" i="3"/>
  <c r="Z13" i="2"/>
  <c r="H659" i="3" s="1"/>
  <c r="AA14" i="2"/>
  <c r="W12" i="2"/>
  <c r="Y13" i="2"/>
  <c r="G659" i="3" s="1"/>
  <c r="T14" i="2"/>
  <c r="T13" i="2"/>
  <c r="X13" i="2"/>
  <c r="F659" i="3" s="1"/>
  <c r="Z11" i="2"/>
  <c r="AA12" i="2"/>
  <c r="Y12" i="2"/>
  <c r="T12" i="2"/>
  <c r="W13" i="2"/>
  <c r="X11" i="2"/>
  <c r="X14" i="2"/>
  <c r="D674" i="3"/>
  <c r="Z14" i="2"/>
  <c r="Z12" i="2"/>
  <c r="X12" i="2"/>
  <c r="T11" i="2"/>
  <c r="AB12" i="2"/>
  <c r="AB11" i="2"/>
  <c r="Y14" i="2"/>
  <c r="D659" i="3"/>
  <c r="L659" i="3" s="1"/>
  <c r="AA13" i="2"/>
  <c r="I659" i="3" s="1"/>
  <c r="AA11" i="2"/>
  <c r="AB13" i="2"/>
  <c r="K659" i="3" s="1"/>
  <c r="W11" i="2"/>
  <c r="AB14" i="2"/>
  <c r="Y11" i="2"/>
  <c r="W14" i="2"/>
  <c r="V55" i="2"/>
  <c r="E666" i="3"/>
  <c r="J665" i="3"/>
  <c r="J667" i="3"/>
  <c r="J666" i="3"/>
  <c r="J668" i="3"/>
  <c r="J669" i="3"/>
  <c r="J661" i="3"/>
  <c r="J664" i="3"/>
  <c r="K658" i="3"/>
  <c r="E658" i="3"/>
  <c r="K663" i="3"/>
  <c r="F669" i="3"/>
  <c r="E669" i="3"/>
  <c r="H658" i="3"/>
  <c r="H663" i="3"/>
  <c r="G669" i="3"/>
  <c r="K669" i="3"/>
  <c r="I658" i="3"/>
  <c r="I663" i="3"/>
  <c r="G658" i="3"/>
  <c r="G663" i="3"/>
  <c r="F663" i="3"/>
  <c r="E663" i="3"/>
  <c r="F658" i="3"/>
  <c r="M90" i="2"/>
  <c r="DS101" i="3" s="1"/>
  <c r="DU101" i="3" s="1"/>
  <c r="H88" i="2"/>
  <c r="M92" i="2"/>
  <c r="DS103" i="3" s="1"/>
  <c r="DU103" i="3" s="1"/>
  <c r="H86" i="2"/>
  <c r="DS65" i="3" s="1"/>
  <c r="DU65" i="3" s="1"/>
  <c r="H91" i="2"/>
  <c r="DS70" i="3" s="1"/>
  <c r="DU70" i="3" s="1"/>
  <c r="H87" i="2"/>
  <c r="M88" i="2"/>
  <c r="DS99" i="3" s="1"/>
  <c r="DU99" i="3" s="1"/>
  <c r="H90" i="2"/>
  <c r="V7" i="2"/>
  <c r="V8" i="2"/>
  <c r="V5" i="2"/>
  <c r="V6" i="2"/>
  <c r="V73" i="2"/>
  <c r="V71" i="2"/>
  <c r="V74" i="2"/>
  <c r="V72" i="2"/>
  <c r="V35" i="2"/>
  <c r="V38" i="2"/>
  <c r="V37" i="2"/>
  <c r="V36" i="2"/>
  <c r="H85" i="2" l="1"/>
  <c r="DS64" i="3" s="1"/>
  <c r="DU64" i="3" s="1"/>
  <c r="H92" i="2"/>
  <c r="DS71" i="3" s="1"/>
  <c r="DU71" i="3" s="1"/>
  <c r="J662" i="3"/>
  <c r="V32" i="2"/>
  <c r="V29" i="2"/>
  <c r="V30" i="2"/>
  <c r="V31" i="2"/>
  <c r="E662" i="3"/>
  <c r="H80" i="2"/>
  <c r="DS59" i="3" s="1"/>
  <c r="DU59" i="3" s="1"/>
  <c r="M79" i="2"/>
  <c r="DS90" i="3" s="1"/>
  <c r="DU90" i="3" s="1"/>
  <c r="V14" i="2"/>
  <c r="M82" i="2"/>
  <c r="DS93" i="3" s="1"/>
  <c r="DU93" i="3" s="1"/>
  <c r="J658" i="3"/>
  <c r="J663" i="3"/>
  <c r="J659" i="3"/>
  <c r="H98" i="2"/>
  <c r="M99" i="2"/>
  <c r="H99" i="2"/>
  <c r="DS78" i="3" s="1"/>
  <c r="DU78" i="3" s="1"/>
  <c r="DS69" i="3"/>
  <c r="DU69" i="3" s="1"/>
  <c r="H93" i="2"/>
  <c r="M97" i="2"/>
  <c r="DS108" i="3" s="1"/>
  <c r="DU108" i="3" s="1"/>
  <c r="DS67" i="3"/>
  <c r="DU67" i="3" s="1"/>
  <c r="M95" i="2"/>
  <c r="DS106" i="3" s="1"/>
  <c r="DU106" i="3" s="1"/>
  <c r="H97" i="2"/>
  <c r="DS66" i="3"/>
  <c r="DU66" i="3" s="1"/>
  <c r="H81" i="2"/>
  <c r="DS60" i="3" s="1"/>
  <c r="DU60" i="3" s="1"/>
  <c r="V11" i="2"/>
  <c r="V12" i="2"/>
  <c r="E659" i="3"/>
  <c r="V13" i="2"/>
  <c r="M660" i="3"/>
  <c r="M658" i="3"/>
  <c r="M666" i="3"/>
  <c r="M668" i="3"/>
  <c r="M659" i="3"/>
  <c r="M661" i="3"/>
  <c r="M667" i="3"/>
  <c r="M669" i="3"/>
  <c r="M663" i="3"/>
  <c r="M664" i="3"/>
  <c r="M665" i="3"/>
  <c r="M662" i="3"/>
  <c r="H84" i="2"/>
  <c r="M87" i="2"/>
  <c r="DS98" i="3" s="1"/>
  <c r="DU98" i="3" s="1"/>
  <c r="M80" i="2"/>
  <c r="H79" i="2"/>
  <c r="DS58" i="3" s="1"/>
  <c r="DU58" i="3" s="1"/>
  <c r="H83" i="2"/>
  <c r="DS62" i="3" s="1"/>
  <c r="DU62" i="3" s="1"/>
  <c r="H77" i="2"/>
  <c r="DS56" i="3" s="1"/>
  <c r="DU56" i="3" s="1"/>
  <c r="H82" i="2" l="1"/>
  <c r="DS61" i="3" s="1"/>
  <c r="DU61" i="3" s="1"/>
  <c r="H78" i="2"/>
  <c r="DS57" i="3" s="1"/>
  <c r="DU57" i="3" s="1"/>
  <c r="M94" i="2"/>
  <c r="DS105" i="3" s="1"/>
  <c r="DU105" i="3" s="1"/>
  <c r="H95" i="2"/>
  <c r="DS91" i="3"/>
  <c r="DU91" i="3" s="1"/>
  <c r="H102" i="2"/>
  <c r="DS81" i="3" s="1"/>
  <c r="DU81" i="3" s="1"/>
  <c r="DS76" i="3"/>
  <c r="DU76" i="3" s="1"/>
  <c r="H104" i="2"/>
  <c r="DS110" i="3"/>
  <c r="DU110" i="3" s="1"/>
  <c r="M96" i="2"/>
  <c r="DS107" i="3" s="1"/>
  <c r="DU107" i="3" s="1"/>
  <c r="DS63" i="3"/>
  <c r="DU63" i="3" s="1"/>
  <c r="H101" i="2"/>
  <c r="DS80" i="3" s="1"/>
  <c r="DU80" i="3" s="1"/>
  <c r="DS72" i="3"/>
  <c r="DU72" i="3" s="1"/>
  <c r="M102" i="2"/>
  <c r="DS77" i="3"/>
  <c r="DU77" i="3" s="1"/>
  <c r="H89" i="2"/>
  <c r="DS68" i="3" s="1"/>
  <c r="DU68" i="3" s="1"/>
  <c r="M77" i="2"/>
  <c r="P659" i="3"/>
  <c r="O661" i="3"/>
  <c r="N667" i="3"/>
  <c r="O668" i="3"/>
  <c r="O669" i="3"/>
  <c r="P668" i="3"/>
  <c r="O666" i="3"/>
  <c r="O662" i="3"/>
  <c r="N669" i="3"/>
  <c r="N661" i="3"/>
  <c r="P663" i="3"/>
  <c r="P661" i="3"/>
  <c r="N660" i="3"/>
  <c r="P665" i="3"/>
  <c r="P662" i="3"/>
  <c r="N659" i="3"/>
  <c r="O663" i="3"/>
  <c r="P667" i="3"/>
  <c r="P669" i="3"/>
  <c r="O664" i="3"/>
  <c r="N664" i="3"/>
  <c r="O659" i="3"/>
  <c r="N662" i="3"/>
  <c r="O665" i="3"/>
  <c r="O658" i="3"/>
  <c r="N663" i="3"/>
  <c r="O667" i="3"/>
  <c r="N665" i="3"/>
  <c r="N666" i="3"/>
  <c r="P664" i="3"/>
  <c r="P658" i="3"/>
  <c r="N668" i="3"/>
  <c r="P660" i="3"/>
  <c r="N658" i="3"/>
  <c r="P666" i="3"/>
  <c r="O660" i="3"/>
  <c r="M105" i="2" l="1"/>
  <c r="DS113" i="3"/>
  <c r="DU113" i="3" s="1"/>
  <c r="H94" i="2"/>
  <c r="DS88" i="3"/>
  <c r="DU88" i="3" s="1"/>
  <c r="M106" i="2"/>
  <c r="DS83" i="3"/>
  <c r="DU83" i="3" s="1"/>
  <c r="H103" i="2"/>
  <c r="DS82" i="3" s="1"/>
  <c r="DU82" i="3" s="1"/>
  <c r="DS74" i="3"/>
  <c r="DU74" i="3" s="1"/>
  <c r="Q665" i="3"/>
  <c r="Q661" i="3"/>
  <c r="Q666" i="3"/>
  <c r="Q667" i="3"/>
  <c r="Q662" i="3"/>
  <c r="Q669" i="3"/>
  <c r="Q659" i="3"/>
  <c r="Q668" i="3"/>
  <c r="Q664" i="3"/>
  <c r="Q663" i="3"/>
  <c r="Q660" i="3"/>
  <c r="Q658" i="3"/>
  <c r="M101" i="2" l="1"/>
  <c r="DS73" i="3"/>
  <c r="DU73" i="3" s="1"/>
  <c r="M107" i="2"/>
  <c r="DS117" i="3"/>
  <c r="DU117" i="3" s="1"/>
  <c r="DS116" i="3"/>
  <c r="DU116" i="3" s="1"/>
  <c r="T664" i="3"/>
  <c r="U84" i="2" s="1"/>
  <c r="T668" i="3"/>
  <c r="V668" i="3" s="1"/>
  <c r="T658" i="3"/>
  <c r="V658" i="3" s="1"/>
  <c r="T660" i="3"/>
  <c r="V660" i="3" s="1"/>
  <c r="U668" i="3"/>
  <c r="T88" i="2" s="1"/>
  <c r="Z88" i="2" s="1"/>
  <c r="U661" i="3"/>
  <c r="T81" i="2" s="1"/>
  <c r="AA81" i="2" s="1"/>
  <c r="U662" i="3"/>
  <c r="T82" i="2" s="1"/>
  <c r="X82" i="2" s="1"/>
  <c r="U663" i="3"/>
  <c r="T83" i="2" s="1"/>
  <c r="Y83" i="2" s="1"/>
  <c r="T661" i="3"/>
  <c r="V661" i="3" s="1"/>
  <c r="T669" i="3"/>
  <c r="V669" i="3" s="1"/>
  <c r="U666" i="3"/>
  <c r="T86" i="2" s="1"/>
  <c r="X86" i="2" s="1"/>
  <c r="U664" i="3"/>
  <c r="T84" i="2" s="1"/>
  <c r="X84" i="2" s="1"/>
  <c r="U665" i="3"/>
  <c r="T85" i="2" s="1"/>
  <c r="AB85" i="2" s="1"/>
  <c r="T666" i="3"/>
  <c r="V666" i="3" s="1"/>
  <c r="U658" i="3"/>
  <c r="T78" i="2" s="1"/>
  <c r="Z78" i="2" s="1"/>
  <c r="T662" i="3"/>
  <c r="U82" i="2" s="1"/>
  <c r="U667" i="3"/>
  <c r="T87" i="2" s="1"/>
  <c r="Z87" i="2" s="1"/>
  <c r="U659" i="3"/>
  <c r="T79" i="2" s="1"/>
  <c r="Z79" i="2" s="1"/>
  <c r="T659" i="3"/>
  <c r="V659" i="3" s="1"/>
  <c r="U660" i="3"/>
  <c r="T80" i="2" s="1"/>
  <c r="X80" i="2" s="1"/>
  <c r="T667" i="3"/>
  <c r="U87" i="2" s="1"/>
  <c r="T663" i="3"/>
  <c r="T665" i="3"/>
  <c r="V665" i="3" s="1"/>
  <c r="U669" i="3"/>
  <c r="T89" i="2" s="1"/>
  <c r="AB89" i="2" s="1"/>
  <c r="DS118" i="3" l="1"/>
  <c r="DU118" i="3" s="1"/>
  <c r="H105" i="2"/>
  <c r="H108" i="2" s="1"/>
  <c r="DS87" i="3" s="1"/>
  <c r="DU87" i="3" s="1"/>
  <c r="DS112" i="3"/>
  <c r="DU112" i="3" s="1"/>
  <c r="V664" i="3"/>
  <c r="AA86" i="2"/>
  <c r="U88" i="2"/>
  <c r="X87" i="2"/>
  <c r="AA83" i="2"/>
  <c r="W87" i="2"/>
  <c r="W79" i="2"/>
  <c r="U89" i="2"/>
  <c r="X81" i="2"/>
  <c r="U80" i="2"/>
  <c r="Z82" i="2"/>
  <c r="X78" i="2"/>
  <c r="U79" i="2"/>
  <c r="Z86" i="2"/>
  <c r="AA80" i="2"/>
  <c r="W83" i="2"/>
  <c r="AB78" i="2"/>
  <c r="AG158" i="3"/>
  <c r="AG616" i="3" s="1"/>
  <c r="AF158" i="3"/>
  <c r="AF511" i="3" s="1"/>
  <c r="AB82" i="2"/>
  <c r="W78" i="2"/>
  <c r="Z85" i="2"/>
  <c r="AB87" i="2"/>
  <c r="Y88" i="2"/>
  <c r="W86" i="2"/>
  <c r="Y82" i="2"/>
  <c r="AA78" i="2"/>
  <c r="Y87" i="2"/>
  <c r="AB88" i="2"/>
  <c r="AB158" i="3"/>
  <c r="AB80" i="2"/>
  <c r="Z84" i="2"/>
  <c r="AJ158" i="3"/>
  <c r="AJ608" i="3" s="1"/>
  <c r="U78" i="2"/>
  <c r="AA82" i="2"/>
  <c r="X83" i="2"/>
  <c r="U85" i="2"/>
  <c r="Y80" i="2"/>
  <c r="Y78" i="2"/>
  <c r="Y86" i="2"/>
  <c r="AD158" i="3"/>
  <c r="AD298" i="3" s="1"/>
  <c r="W82" i="2"/>
  <c r="Z83" i="2"/>
  <c r="V662" i="3"/>
  <c r="Z89" i="2"/>
  <c r="AB86" i="2"/>
  <c r="AE158" i="3"/>
  <c r="AE640" i="3" s="1"/>
  <c r="W81" i="2"/>
  <c r="AB81" i="2"/>
  <c r="U83" i="2"/>
  <c r="Z81" i="2"/>
  <c r="Y81" i="2"/>
  <c r="V667" i="3"/>
  <c r="AA85" i="2"/>
  <c r="AA88" i="2"/>
  <c r="X88" i="2"/>
  <c r="Y85" i="2"/>
  <c r="AB79" i="2"/>
  <c r="AA87" i="2"/>
  <c r="W88" i="2"/>
  <c r="V88" i="2" s="1"/>
  <c r="X89" i="2"/>
  <c r="AA158" i="3"/>
  <c r="AA590" i="3" s="1"/>
  <c r="AB83" i="2"/>
  <c r="W80" i="2"/>
  <c r="Z80" i="2"/>
  <c r="X85" i="2"/>
  <c r="Y84" i="2"/>
  <c r="W84" i="2"/>
  <c r="AB84" i="2"/>
  <c r="W89" i="2"/>
  <c r="U81" i="2"/>
  <c r="W85" i="2"/>
  <c r="AA84" i="2"/>
  <c r="AL158" i="3"/>
  <c r="AL226" i="3" s="1"/>
  <c r="Y89" i="2"/>
  <c r="AI158" i="3"/>
  <c r="AI518" i="3" s="1"/>
  <c r="V663" i="3"/>
  <c r="AC158" i="3"/>
  <c r="AC637" i="3" s="1"/>
  <c r="AH158" i="3"/>
  <c r="AH617" i="3" s="1"/>
  <c r="AK158" i="3"/>
  <c r="AK300" i="3" s="1"/>
  <c r="U86" i="2"/>
  <c r="Y79" i="2"/>
  <c r="X79" i="2"/>
  <c r="AA79" i="2"/>
  <c r="AA89" i="2"/>
  <c r="AB224" i="3"/>
  <c r="AG300" i="3" l="1"/>
  <c r="V82" i="2"/>
  <c r="AG469" i="3"/>
  <c r="AG610" i="3"/>
  <c r="AG249" i="3"/>
  <c r="AG224" i="3"/>
  <c r="AG423" i="3"/>
  <c r="AG341" i="3"/>
  <c r="AG465" i="3"/>
  <c r="AG402" i="3"/>
  <c r="AG547" i="3"/>
  <c r="AG327" i="3"/>
  <c r="AG533" i="3"/>
  <c r="AC191" i="3"/>
  <c r="AA208" i="3"/>
  <c r="AC567" i="3"/>
  <c r="AC495" i="3"/>
  <c r="AC176" i="3"/>
  <c r="AG598" i="3"/>
  <c r="AG405" i="3"/>
  <c r="AG218" i="3"/>
  <c r="AG229" i="3"/>
  <c r="AG371" i="3"/>
  <c r="AG446" i="3"/>
  <c r="AG624" i="3"/>
  <c r="AC250" i="3"/>
  <c r="AG256" i="3"/>
  <c r="AG176" i="3"/>
  <c r="AG385" i="3"/>
  <c r="AG271" i="3"/>
  <c r="AG360" i="3"/>
  <c r="AG501" i="3"/>
  <c r="AA534" i="3"/>
  <c r="H107" i="2"/>
  <c r="DS84" i="3"/>
  <c r="DU84" i="3" s="1"/>
  <c r="AC365" i="3"/>
  <c r="AC461" i="3"/>
  <c r="AC344" i="3"/>
  <c r="AC326" i="3"/>
  <c r="AJ517" i="3"/>
  <c r="AE285" i="3"/>
  <c r="AE436" i="3"/>
  <c r="AE478" i="3"/>
  <c r="AE576" i="3"/>
  <c r="AE236" i="3"/>
  <c r="AE502" i="3"/>
  <c r="AE520" i="3"/>
  <c r="AE636" i="3"/>
  <c r="AE215" i="3"/>
  <c r="AE379" i="3"/>
  <c r="AE530" i="3"/>
  <c r="AE247" i="3"/>
  <c r="AE306" i="3"/>
  <c r="AE464" i="3"/>
  <c r="AF317" i="3"/>
  <c r="AE165" i="3"/>
  <c r="AE204" i="3"/>
  <c r="AE270" i="3"/>
  <c r="AE351" i="3"/>
  <c r="AE555" i="3"/>
  <c r="AE160" i="3"/>
  <c r="AE188" i="3"/>
  <c r="AE220" i="3"/>
  <c r="AE252" i="3"/>
  <c r="AE291" i="3"/>
  <c r="AE316" i="3"/>
  <c r="AE394" i="3"/>
  <c r="AE487" i="3"/>
  <c r="AE590" i="3"/>
  <c r="AF367" i="3"/>
  <c r="AE182" i="3"/>
  <c r="AE199" i="3"/>
  <c r="AE231" i="3"/>
  <c r="AE263" i="3"/>
  <c r="AE492" i="3"/>
  <c r="AE337" i="3"/>
  <c r="AE422" i="3"/>
  <c r="AE617" i="3"/>
  <c r="AE635" i="3"/>
  <c r="AE166" i="3"/>
  <c r="AE207" i="3"/>
  <c r="AE239" i="3"/>
  <c r="AE274" i="3"/>
  <c r="AE321" i="3"/>
  <c r="AE501" i="3"/>
  <c r="AE170" i="3"/>
  <c r="AE159" i="3"/>
  <c r="AE191" i="3"/>
  <c r="AE223" i="3"/>
  <c r="AE255" i="3"/>
  <c r="AE295" i="3"/>
  <c r="AE536" i="3"/>
  <c r="AE358" i="3"/>
  <c r="AE400" i="3"/>
  <c r="AE443" i="3"/>
  <c r="AE561" i="3"/>
  <c r="AE597" i="3"/>
  <c r="AF362" i="3"/>
  <c r="AC261" i="3"/>
  <c r="AC454" i="3"/>
  <c r="AC591" i="3"/>
  <c r="AG290" i="3"/>
  <c r="AG166" i="3"/>
  <c r="AG258" i="3"/>
  <c r="AG207" i="3"/>
  <c r="AG293" i="3"/>
  <c r="AG318" i="3"/>
  <c r="AG590" i="3"/>
  <c r="AG589" i="3"/>
  <c r="AE181" i="3"/>
  <c r="AE176" i="3"/>
  <c r="AE506" i="3"/>
  <c r="AE196" i="3"/>
  <c r="AE212" i="3"/>
  <c r="AE228" i="3"/>
  <c r="AE244" i="3"/>
  <c r="AE260" i="3"/>
  <c r="AE281" i="3"/>
  <c r="AE476" i="3"/>
  <c r="AE302" i="3"/>
  <c r="AE332" i="3"/>
  <c r="AE372" i="3"/>
  <c r="AE415" i="3"/>
  <c r="AE458" i="3"/>
  <c r="AE529" i="3"/>
  <c r="AE624" i="3"/>
  <c r="AE616" i="3"/>
  <c r="AA332" i="3"/>
  <c r="AF258" i="3"/>
  <c r="AE173" i="3"/>
  <c r="AE494" i="3"/>
  <c r="AE168" i="3"/>
  <c r="AE184" i="3"/>
  <c r="AE474" i="3"/>
  <c r="AE538" i="3"/>
  <c r="AE192" i="3"/>
  <c r="AE200" i="3"/>
  <c r="AE208" i="3"/>
  <c r="AE216" i="3"/>
  <c r="AE224" i="3"/>
  <c r="AE232" i="3"/>
  <c r="AE240" i="3"/>
  <c r="AE248" i="3"/>
  <c r="AE256" i="3"/>
  <c r="AE265" i="3"/>
  <c r="AE275" i="3"/>
  <c r="AE286" i="3"/>
  <c r="AE297" i="3"/>
  <c r="AE496" i="3"/>
  <c r="AE540" i="3"/>
  <c r="AE308" i="3"/>
  <c r="AE324" i="3"/>
  <c r="AE340" i="3"/>
  <c r="AE362" i="3"/>
  <c r="AE383" i="3"/>
  <c r="AE404" i="3"/>
  <c r="AE426" i="3"/>
  <c r="AE447" i="3"/>
  <c r="AE468" i="3"/>
  <c r="AE509" i="3"/>
  <c r="AE544" i="3"/>
  <c r="AE565" i="3"/>
  <c r="AE580" i="3"/>
  <c r="AE601" i="3"/>
  <c r="AE651" i="3"/>
  <c r="AF405" i="3"/>
  <c r="AF475" i="3"/>
  <c r="AE163" i="3"/>
  <c r="AE179" i="3"/>
  <c r="AE534" i="3"/>
  <c r="AE174" i="3"/>
  <c r="AE486" i="3"/>
  <c r="AE498" i="3"/>
  <c r="AE187" i="3"/>
  <c r="AE195" i="3"/>
  <c r="AE203" i="3"/>
  <c r="AE211" i="3"/>
  <c r="AE219" i="3"/>
  <c r="AE227" i="3"/>
  <c r="AE235" i="3"/>
  <c r="AE243" i="3"/>
  <c r="AE251" i="3"/>
  <c r="AE259" i="3"/>
  <c r="AE269" i="3"/>
  <c r="AE279" i="3"/>
  <c r="AE290" i="3"/>
  <c r="AE472" i="3"/>
  <c r="AE512" i="3"/>
  <c r="AE301" i="3"/>
  <c r="AE313" i="3"/>
  <c r="AE329" i="3"/>
  <c r="AE347" i="3"/>
  <c r="AE368" i="3"/>
  <c r="AE390" i="3"/>
  <c r="AE411" i="3"/>
  <c r="AE432" i="3"/>
  <c r="AE454" i="3"/>
  <c r="AE479" i="3"/>
  <c r="AE521" i="3"/>
  <c r="AE551" i="3"/>
  <c r="AE611" i="3"/>
  <c r="AE586" i="3"/>
  <c r="AE608" i="3"/>
  <c r="AE631" i="3"/>
  <c r="AF226" i="3"/>
  <c r="AF241" i="3"/>
  <c r="AE175" i="3"/>
  <c r="AE510" i="3"/>
  <c r="AE178" i="3"/>
  <c r="AE526" i="3"/>
  <c r="AE514" i="3"/>
  <c r="AE189" i="3"/>
  <c r="AE201" i="3"/>
  <c r="AE209" i="3"/>
  <c r="AE217" i="3"/>
  <c r="AE229" i="3"/>
  <c r="AE237" i="3"/>
  <c r="AE249" i="3"/>
  <c r="AE257" i="3"/>
  <c r="AE271" i="3"/>
  <c r="AE287" i="3"/>
  <c r="AE298" i="3"/>
  <c r="AE524" i="3"/>
  <c r="AE309" i="3"/>
  <c r="AE333" i="3"/>
  <c r="AE363" i="3"/>
  <c r="AE395" i="3"/>
  <c r="AE427" i="3"/>
  <c r="AE459" i="3"/>
  <c r="AE489" i="3"/>
  <c r="AE545" i="3"/>
  <c r="AE637" i="3"/>
  <c r="AE592" i="3"/>
  <c r="AE646" i="3"/>
  <c r="AI652" i="3"/>
  <c r="AF274" i="3"/>
  <c r="AF445" i="3"/>
  <c r="AK620" i="3"/>
  <c r="AK638" i="3"/>
  <c r="AK414" i="3"/>
  <c r="AK459" i="3"/>
  <c r="AK331" i="3"/>
  <c r="AE644" i="3"/>
  <c r="AE633" i="3"/>
  <c r="AE629" i="3"/>
  <c r="AE625" i="3"/>
  <c r="AE639" i="3"/>
  <c r="AE649" i="3"/>
  <c r="AE612" i="3"/>
  <c r="AE607" i="3"/>
  <c r="AE603" i="3"/>
  <c r="AE599" i="3"/>
  <c r="AE595" i="3"/>
  <c r="AE591" i="3"/>
  <c r="AE587" i="3"/>
  <c r="AE583" i="3"/>
  <c r="AE579" i="3"/>
  <c r="AE575" i="3"/>
  <c r="AE653" i="3"/>
  <c r="AE620" i="3"/>
  <c r="AE570" i="3"/>
  <c r="AE566" i="3"/>
  <c r="AE562" i="3"/>
  <c r="AE558" i="3"/>
  <c r="AE554" i="3"/>
  <c r="AE550" i="3"/>
  <c r="AE546" i="3"/>
  <c r="AE638" i="3"/>
  <c r="AE539" i="3"/>
  <c r="AE531" i="3"/>
  <c r="AE523" i="3"/>
  <c r="AE515" i="3"/>
  <c r="AE507" i="3"/>
  <c r="AE499" i="3"/>
  <c r="AE491" i="3"/>
  <c r="AE483" i="3"/>
  <c r="AE475" i="3"/>
  <c r="AE469" i="3"/>
  <c r="AE465" i="3"/>
  <c r="AE461" i="3"/>
  <c r="AE457" i="3"/>
  <c r="AE453" i="3"/>
  <c r="AE449" i="3"/>
  <c r="AE445" i="3"/>
  <c r="AE441" i="3"/>
  <c r="AE437" i="3"/>
  <c r="AE433" i="3"/>
  <c r="AE429" i="3"/>
  <c r="AE425" i="3"/>
  <c r="AE421" i="3"/>
  <c r="AE417" i="3"/>
  <c r="AE413" i="3"/>
  <c r="AE409" i="3"/>
  <c r="AE405" i="3"/>
  <c r="AE401" i="3"/>
  <c r="AE397" i="3"/>
  <c r="AE393" i="3"/>
  <c r="AE389" i="3"/>
  <c r="AE385" i="3"/>
  <c r="AE381" i="3"/>
  <c r="AE377" i="3"/>
  <c r="AE373" i="3"/>
  <c r="AE369" i="3"/>
  <c r="AE365" i="3"/>
  <c r="AE361" i="3"/>
  <c r="AE357" i="3"/>
  <c r="AE353" i="3"/>
  <c r="AE349" i="3"/>
  <c r="AE345" i="3"/>
  <c r="AE341" i="3"/>
  <c r="AE652" i="3"/>
  <c r="AE634" i="3"/>
  <c r="AE628" i="3"/>
  <c r="AE647" i="3"/>
  <c r="AE642" i="3"/>
  <c r="AE610" i="3"/>
  <c r="AE605" i="3"/>
  <c r="AE600" i="3"/>
  <c r="AE594" i="3"/>
  <c r="AE589" i="3"/>
  <c r="AE584" i="3"/>
  <c r="AE578" i="3"/>
  <c r="AE573" i="3"/>
  <c r="AE622" i="3"/>
  <c r="AE569" i="3"/>
  <c r="AE564" i="3"/>
  <c r="AE559" i="3"/>
  <c r="AE553" i="3"/>
  <c r="AE548" i="3"/>
  <c r="AE543" i="3"/>
  <c r="AE537" i="3"/>
  <c r="AE527" i="3"/>
  <c r="AE517" i="3"/>
  <c r="AE505" i="3"/>
  <c r="AE495" i="3"/>
  <c r="AE485" i="3"/>
  <c r="AE473" i="3"/>
  <c r="AE467" i="3"/>
  <c r="AE462" i="3"/>
  <c r="AE456" i="3"/>
  <c r="AE451" i="3"/>
  <c r="AE446" i="3"/>
  <c r="AE440" i="3"/>
  <c r="AE435" i="3"/>
  <c r="AE430" i="3"/>
  <c r="AE424" i="3"/>
  <c r="AE419" i="3"/>
  <c r="AE414" i="3"/>
  <c r="AE408" i="3"/>
  <c r="AE403" i="3"/>
  <c r="AE398" i="3"/>
  <c r="AE392" i="3"/>
  <c r="AE387" i="3"/>
  <c r="AE382" i="3"/>
  <c r="AE376" i="3"/>
  <c r="AE371" i="3"/>
  <c r="AE366" i="3"/>
  <c r="AE360" i="3"/>
  <c r="AE355" i="3"/>
  <c r="AE350" i="3"/>
  <c r="AE344" i="3"/>
  <c r="AE339" i="3"/>
  <c r="AE335" i="3"/>
  <c r="AE331" i="3"/>
  <c r="AE327" i="3"/>
  <c r="AE323" i="3"/>
  <c r="AE319" i="3"/>
  <c r="AE315" i="3"/>
  <c r="AE311" i="3"/>
  <c r="AE307" i="3"/>
  <c r="AE303" i="3"/>
  <c r="AE623" i="3"/>
  <c r="AE532" i="3"/>
  <c r="AE516" i="3"/>
  <c r="AE500" i="3"/>
  <c r="AE484" i="3"/>
  <c r="AE300" i="3"/>
  <c r="AE296" i="3"/>
  <c r="AE292" i="3"/>
  <c r="AE288" i="3"/>
  <c r="AE284" i="3"/>
  <c r="AE280" i="3"/>
  <c r="AE276" i="3"/>
  <c r="AE272" i="3"/>
  <c r="AE268" i="3"/>
  <c r="AE264" i="3"/>
  <c r="AE648" i="3"/>
  <c r="AE632" i="3"/>
  <c r="AE627" i="3"/>
  <c r="AE643" i="3"/>
  <c r="AE641" i="3"/>
  <c r="AE609" i="3"/>
  <c r="AE604" i="3"/>
  <c r="AE598" i="3"/>
  <c r="AE593" i="3"/>
  <c r="AE588" i="3"/>
  <c r="AE582" i="3"/>
  <c r="AE577" i="3"/>
  <c r="AE572" i="3"/>
  <c r="AE615" i="3"/>
  <c r="AE568" i="3"/>
  <c r="AE563" i="3"/>
  <c r="AE557" i="3"/>
  <c r="AE552" i="3"/>
  <c r="AE547" i="3"/>
  <c r="AE619" i="3"/>
  <c r="AE535" i="3"/>
  <c r="AE525" i="3"/>
  <c r="AE513" i="3"/>
  <c r="AE503" i="3"/>
  <c r="AE493" i="3"/>
  <c r="AE481" i="3"/>
  <c r="AE471" i="3"/>
  <c r="AE466" i="3"/>
  <c r="AE460" i="3"/>
  <c r="AE455" i="3"/>
  <c r="AE450" i="3"/>
  <c r="AE444" i="3"/>
  <c r="AE439" i="3"/>
  <c r="AE434" i="3"/>
  <c r="AE428" i="3"/>
  <c r="AE423" i="3"/>
  <c r="AE418" i="3"/>
  <c r="AE412" i="3"/>
  <c r="AE407" i="3"/>
  <c r="AE402" i="3"/>
  <c r="AE396" i="3"/>
  <c r="AE391" i="3"/>
  <c r="AE386" i="3"/>
  <c r="AE380" i="3"/>
  <c r="AE375" i="3"/>
  <c r="AE370" i="3"/>
  <c r="AE364" i="3"/>
  <c r="AE359" i="3"/>
  <c r="AE354" i="3"/>
  <c r="AE348" i="3"/>
  <c r="AE343" i="3"/>
  <c r="AE338" i="3"/>
  <c r="AE334" i="3"/>
  <c r="AE330" i="3"/>
  <c r="AE326" i="3"/>
  <c r="AE322" i="3"/>
  <c r="AE318" i="3"/>
  <c r="AE314" i="3"/>
  <c r="AE310" i="3"/>
  <c r="AF643" i="3"/>
  <c r="AF507" i="3"/>
  <c r="AF557" i="3"/>
  <c r="AF354" i="3"/>
  <c r="AF313" i="3"/>
  <c r="AF431" i="3"/>
  <c r="AF303" i="3"/>
  <c r="AF237" i="3"/>
  <c r="AF178" i="3"/>
  <c r="AF437" i="3"/>
  <c r="AF373" i="3"/>
  <c r="AF604" i="3"/>
  <c r="AF479" i="3"/>
  <c r="AF426" i="3"/>
  <c r="AF602" i="3"/>
  <c r="AF220" i="3"/>
  <c r="AF375" i="3"/>
  <c r="AF273" i="3"/>
  <c r="AF209" i="3"/>
  <c r="AF160" i="3"/>
  <c r="AF413" i="3"/>
  <c r="AF349" i="3"/>
  <c r="AF294" i="3"/>
  <c r="AF262" i="3"/>
  <c r="AF230" i="3"/>
  <c r="AF198" i="3"/>
  <c r="AF552" i="3"/>
  <c r="AF345" i="3"/>
  <c r="AF311" i="3"/>
  <c r="AF182" i="3"/>
  <c r="AF381" i="3"/>
  <c r="AF290" i="3"/>
  <c r="AF246" i="3"/>
  <c r="AF210" i="3"/>
  <c r="AF572" i="3"/>
  <c r="AF418" i="3"/>
  <c r="AF212" i="3"/>
  <c r="AF269" i="3"/>
  <c r="AF584" i="3"/>
  <c r="AF341" i="3"/>
  <c r="AF278" i="3"/>
  <c r="AF242" i="3"/>
  <c r="AF194" i="3"/>
  <c r="AE167" i="3"/>
  <c r="AE183" i="3"/>
  <c r="AE162" i="3"/>
  <c r="AE171" i="3"/>
  <c r="AE186" i="3"/>
  <c r="AE482" i="3"/>
  <c r="AE618" i="3"/>
  <c r="AE193" i="3"/>
  <c r="AE197" i="3"/>
  <c r="AE205" i="3"/>
  <c r="AE213" i="3"/>
  <c r="AE221" i="3"/>
  <c r="AE225" i="3"/>
  <c r="AE233" i="3"/>
  <c r="AE241" i="3"/>
  <c r="AE245" i="3"/>
  <c r="AE253" i="3"/>
  <c r="AE261" i="3"/>
  <c r="AE266" i="3"/>
  <c r="AE277" i="3"/>
  <c r="AE282" i="3"/>
  <c r="AE293" i="3"/>
  <c r="AE480" i="3"/>
  <c r="AE504" i="3"/>
  <c r="AE571" i="3"/>
  <c r="AE304" i="3"/>
  <c r="AE317" i="3"/>
  <c r="AE325" i="3"/>
  <c r="AE342" i="3"/>
  <c r="AE352" i="3"/>
  <c r="AE374" i="3"/>
  <c r="AE384" i="3"/>
  <c r="AE406" i="3"/>
  <c r="AE416" i="3"/>
  <c r="AE438" i="3"/>
  <c r="AE448" i="3"/>
  <c r="AE470" i="3"/>
  <c r="AE511" i="3"/>
  <c r="AE533" i="3"/>
  <c r="AE556" i="3"/>
  <c r="AE567" i="3"/>
  <c r="AE581" i="3"/>
  <c r="AE602" i="3"/>
  <c r="AE626" i="3"/>
  <c r="AF439" i="3"/>
  <c r="AE161" i="3"/>
  <c r="AE169" i="3"/>
  <c r="AE177" i="3"/>
  <c r="AE185" i="3"/>
  <c r="AE518" i="3"/>
  <c r="AE164" i="3"/>
  <c r="AE172" i="3"/>
  <c r="AE180" i="3"/>
  <c r="AE613" i="3"/>
  <c r="AE542" i="3"/>
  <c r="AE490" i="3"/>
  <c r="AE522" i="3"/>
  <c r="AE621" i="3"/>
  <c r="AE190" i="3"/>
  <c r="AE194" i="3"/>
  <c r="AE198" i="3"/>
  <c r="AE202" i="3"/>
  <c r="AE206" i="3"/>
  <c r="AE210" i="3"/>
  <c r="AE214" i="3"/>
  <c r="AE218" i="3"/>
  <c r="AE222" i="3"/>
  <c r="AE226" i="3"/>
  <c r="AE230" i="3"/>
  <c r="AE234" i="3"/>
  <c r="AE238" i="3"/>
  <c r="AE242" i="3"/>
  <c r="AE246" i="3"/>
  <c r="AE250" i="3"/>
  <c r="AE254" i="3"/>
  <c r="AE258" i="3"/>
  <c r="AE262" i="3"/>
  <c r="AE267" i="3"/>
  <c r="AE273" i="3"/>
  <c r="AE278" i="3"/>
  <c r="AE283" i="3"/>
  <c r="AE289" i="3"/>
  <c r="AE294" i="3"/>
  <c r="AE299" i="3"/>
  <c r="AE488" i="3"/>
  <c r="AE508" i="3"/>
  <c r="AE528" i="3"/>
  <c r="AE645" i="3"/>
  <c r="AE305" i="3"/>
  <c r="AE312" i="3"/>
  <c r="AE320" i="3"/>
  <c r="AE328" i="3"/>
  <c r="AE336" i="3"/>
  <c r="AE346" i="3"/>
  <c r="AE356" i="3"/>
  <c r="AE367" i="3"/>
  <c r="AE378" i="3"/>
  <c r="AE388" i="3"/>
  <c r="AE399" i="3"/>
  <c r="AE410" i="3"/>
  <c r="AE420" i="3"/>
  <c r="AE431" i="3"/>
  <c r="AE442" i="3"/>
  <c r="AE452" i="3"/>
  <c r="AE463" i="3"/>
  <c r="AE477" i="3"/>
  <c r="AE497" i="3"/>
  <c r="AE519" i="3"/>
  <c r="AE541" i="3"/>
  <c r="AE549" i="3"/>
  <c r="AE560" i="3"/>
  <c r="AE614" i="3"/>
  <c r="AE574" i="3"/>
  <c r="AE585" i="3"/>
  <c r="AE596" i="3"/>
  <c r="AE606" i="3"/>
  <c r="AE650" i="3"/>
  <c r="AE630" i="3"/>
  <c r="AK166" i="3"/>
  <c r="AF214" i="3"/>
  <c r="AF309" i="3"/>
  <c r="AF205" i="3"/>
  <c r="AF183" i="3"/>
  <c r="AK233" i="3"/>
  <c r="AK182" i="3"/>
  <c r="AK204" i="3"/>
  <c r="AK364" i="3"/>
  <c r="AK363" i="3"/>
  <c r="AK641" i="3"/>
  <c r="AK295" i="3"/>
  <c r="AK227" i="3"/>
  <c r="AK236" i="3"/>
  <c r="AK428" i="3"/>
  <c r="AK395" i="3"/>
  <c r="AK502" i="3"/>
  <c r="AI507" i="3"/>
  <c r="AK418" i="3"/>
  <c r="AK293" i="3"/>
  <c r="AK268" i="3"/>
  <c r="AK603" i="3"/>
  <c r="AK427" i="3"/>
  <c r="AK543" i="3"/>
  <c r="AI296" i="3"/>
  <c r="AK193" i="3"/>
  <c r="AK249" i="3"/>
  <c r="AK322" i="3"/>
  <c r="AK450" i="3"/>
  <c r="AK170" i="3"/>
  <c r="AK186" i="3"/>
  <c r="AK243" i="3"/>
  <c r="AK318" i="3"/>
  <c r="AK446" i="3"/>
  <c r="AK212" i="3"/>
  <c r="AK244" i="3"/>
  <c r="AK276" i="3"/>
  <c r="AK316" i="3"/>
  <c r="AK380" i="3"/>
  <c r="AK444" i="3"/>
  <c r="AK307" i="3"/>
  <c r="AK339" i="3"/>
  <c r="AK371" i="3"/>
  <c r="AK403" i="3"/>
  <c r="AK435" i="3"/>
  <c r="AK589" i="3"/>
  <c r="AK478" i="3"/>
  <c r="AK510" i="3"/>
  <c r="AK576" i="3"/>
  <c r="AI189" i="3"/>
  <c r="AI340" i="3"/>
  <c r="AK205" i="3"/>
  <c r="AK263" i="3"/>
  <c r="AK354" i="3"/>
  <c r="AK570" i="3"/>
  <c r="AK174" i="3"/>
  <c r="AK187" i="3"/>
  <c r="AK259" i="3"/>
  <c r="AK350" i="3"/>
  <c r="AK188" i="3"/>
  <c r="AK220" i="3"/>
  <c r="AK252" i="3"/>
  <c r="AK284" i="3"/>
  <c r="AK332" i="3"/>
  <c r="AK396" i="3"/>
  <c r="AK460" i="3"/>
  <c r="AK315" i="3"/>
  <c r="AK347" i="3"/>
  <c r="AK379" i="3"/>
  <c r="AK411" i="3"/>
  <c r="AK443" i="3"/>
  <c r="AK557" i="3"/>
  <c r="AK486" i="3"/>
  <c r="AK518" i="3"/>
  <c r="AK608" i="3"/>
  <c r="AI164" i="3"/>
  <c r="AI205" i="3"/>
  <c r="AI404" i="3"/>
  <c r="AK217" i="3"/>
  <c r="AK279" i="3"/>
  <c r="AK386" i="3"/>
  <c r="AK162" i="3"/>
  <c r="AK178" i="3"/>
  <c r="AK207" i="3"/>
  <c r="AK277" i="3"/>
  <c r="AK382" i="3"/>
  <c r="AK196" i="3"/>
  <c r="AK228" i="3"/>
  <c r="AK260" i="3"/>
  <c r="AK292" i="3"/>
  <c r="AK348" i="3"/>
  <c r="AK412" i="3"/>
  <c r="AK573" i="3"/>
  <c r="AK323" i="3"/>
  <c r="AK355" i="3"/>
  <c r="AK387" i="3"/>
  <c r="AK419" i="3"/>
  <c r="AK451" i="3"/>
  <c r="AK558" i="3"/>
  <c r="AK494" i="3"/>
  <c r="AK526" i="3"/>
  <c r="AI539" i="3"/>
  <c r="AI232" i="3"/>
  <c r="AI468" i="3"/>
  <c r="AK647" i="3"/>
  <c r="AK650" i="3"/>
  <c r="AK653" i="3"/>
  <c r="AK631" i="3"/>
  <c r="AK652" i="3"/>
  <c r="AK623" i="3"/>
  <c r="AK619" i="3"/>
  <c r="AK615" i="3"/>
  <c r="AK611" i="3"/>
  <c r="AK640" i="3"/>
  <c r="AK606" i="3"/>
  <c r="AK598" i="3"/>
  <c r="AK590" i="3"/>
  <c r="AK582" i="3"/>
  <c r="AK574" i="3"/>
  <c r="AK609" i="3"/>
  <c r="AK577" i="3"/>
  <c r="AK555" i="3"/>
  <c r="AK541" i="3"/>
  <c r="AK537" i="3"/>
  <c r="AK533" i="3"/>
  <c r="AK529" i="3"/>
  <c r="AK525" i="3"/>
  <c r="AK521" i="3"/>
  <c r="AK517" i="3"/>
  <c r="AK513" i="3"/>
  <c r="AK509" i="3"/>
  <c r="AK505" i="3"/>
  <c r="AK501" i="3"/>
  <c r="AK497" i="3"/>
  <c r="AK493" i="3"/>
  <c r="AK489" i="3"/>
  <c r="AK485" i="3"/>
  <c r="AK481" i="3"/>
  <c r="AK477" i="3"/>
  <c r="AK473" i="3"/>
  <c r="AK607" i="3"/>
  <c r="AK575" i="3"/>
  <c r="AK554" i="3"/>
  <c r="AK597" i="3"/>
  <c r="AK549" i="3"/>
  <c r="AK564" i="3"/>
  <c r="AK569" i="3"/>
  <c r="AK465" i="3"/>
  <c r="AK643" i="3"/>
  <c r="AK646" i="3"/>
  <c r="AK645" i="3"/>
  <c r="AK629" i="3"/>
  <c r="AK644" i="3"/>
  <c r="AK622" i="3"/>
  <c r="AK618" i="3"/>
  <c r="AK614" i="3"/>
  <c r="AK649" i="3"/>
  <c r="AK630" i="3"/>
  <c r="AK604" i="3"/>
  <c r="AK596" i="3"/>
  <c r="AK588" i="3"/>
  <c r="AK580" i="3"/>
  <c r="AK572" i="3"/>
  <c r="AK601" i="3"/>
  <c r="AK567" i="3"/>
  <c r="AK551" i="3"/>
  <c r="AK540" i="3"/>
  <c r="AK536" i="3"/>
  <c r="AK532" i="3"/>
  <c r="AK528" i="3"/>
  <c r="AK524" i="3"/>
  <c r="AK520" i="3"/>
  <c r="AK516" i="3"/>
  <c r="AK512" i="3"/>
  <c r="AK508" i="3"/>
  <c r="AK504" i="3"/>
  <c r="AK500" i="3"/>
  <c r="AK496" i="3"/>
  <c r="AK492" i="3"/>
  <c r="AK488" i="3"/>
  <c r="AK484" i="3"/>
  <c r="AK480" i="3"/>
  <c r="AK476" i="3"/>
  <c r="AK472" i="3"/>
  <c r="AK599" i="3"/>
  <c r="AK566" i="3"/>
  <c r="AK550" i="3"/>
  <c r="AK581" i="3"/>
  <c r="AK634" i="3"/>
  <c r="AK556" i="3"/>
  <c r="AK553" i="3"/>
  <c r="AK463" i="3"/>
  <c r="AK639" i="3"/>
  <c r="AK642" i="3"/>
  <c r="AK637" i="3"/>
  <c r="AK627" i="3"/>
  <c r="AK636" i="3"/>
  <c r="AK621" i="3"/>
  <c r="AK617" i="3"/>
  <c r="AK613" i="3"/>
  <c r="AK632" i="3"/>
  <c r="AK610" i="3"/>
  <c r="AK602" i="3"/>
  <c r="AK594" i="3"/>
  <c r="AK586" i="3"/>
  <c r="AK578" i="3"/>
  <c r="AK648" i="3"/>
  <c r="AK593" i="3"/>
  <c r="AK563" i="3"/>
  <c r="AK547" i="3"/>
  <c r="AK539" i="3"/>
  <c r="AK535" i="3"/>
  <c r="AK531" i="3"/>
  <c r="AK527" i="3"/>
  <c r="V87" i="2"/>
  <c r="AK197" i="3"/>
  <c r="AK209" i="3"/>
  <c r="AK221" i="3"/>
  <c r="AK237" i="3"/>
  <c r="AK253" i="3"/>
  <c r="AK267" i="3"/>
  <c r="AK283" i="3"/>
  <c r="AK299" i="3"/>
  <c r="AK330" i="3"/>
  <c r="AK362" i="3"/>
  <c r="AK394" i="3"/>
  <c r="AK426" i="3"/>
  <c r="AK458" i="3"/>
  <c r="AK605" i="3"/>
  <c r="AK163" i="3"/>
  <c r="AK167" i="3"/>
  <c r="AK171" i="3"/>
  <c r="AK175" i="3"/>
  <c r="AK179" i="3"/>
  <c r="AK183" i="3"/>
  <c r="AK568" i="3"/>
  <c r="AK191" i="3"/>
  <c r="AK213" i="3"/>
  <c r="AK231" i="3"/>
  <c r="AK247" i="3"/>
  <c r="AK265" i="3"/>
  <c r="AK281" i="3"/>
  <c r="AK297" i="3"/>
  <c r="AK326" i="3"/>
  <c r="AK358" i="3"/>
  <c r="AK390" i="3"/>
  <c r="AK422" i="3"/>
  <c r="AK454" i="3"/>
  <c r="AK190" i="3"/>
  <c r="AK198" i="3"/>
  <c r="AK206" i="3"/>
  <c r="AK214" i="3"/>
  <c r="AK222" i="3"/>
  <c r="AK230" i="3"/>
  <c r="AK238" i="3"/>
  <c r="AK246" i="3"/>
  <c r="AK254" i="3"/>
  <c r="AK262" i="3"/>
  <c r="AK270" i="3"/>
  <c r="AK278" i="3"/>
  <c r="AK286" i="3"/>
  <c r="AK294" i="3"/>
  <c r="AK304" i="3"/>
  <c r="AK320" i="3"/>
  <c r="AK336" i="3"/>
  <c r="AK352" i="3"/>
  <c r="AK368" i="3"/>
  <c r="AK384" i="3"/>
  <c r="AK400" i="3"/>
  <c r="AK416" i="3"/>
  <c r="AK432" i="3"/>
  <c r="AK448" i="3"/>
  <c r="AK464" i="3"/>
  <c r="AK544" i="3"/>
  <c r="AK301" i="3"/>
  <c r="AK309" i="3"/>
  <c r="AK317" i="3"/>
  <c r="AK325" i="3"/>
  <c r="AK333" i="3"/>
  <c r="AK341" i="3"/>
  <c r="AK349" i="3"/>
  <c r="AK357" i="3"/>
  <c r="AK365" i="3"/>
  <c r="AK373" i="3"/>
  <c r="AK381" i="3"/>
  <c r="AK389" i="3"/>
  <c r="AK397" i="3"/>
  <c r="AK405" i="3"/>
  <c r="AK413" i="3"/>
  <c r="AK421" i="3"/>
  <c r="AK429" i="3"/>
  <c r="AK437" i="3"/>
  <c r="AK445" i="3"/>
  <c r="AK453" i="3"/>
  <c r="AK461" i="3"/>
  <c r="AK548" i="3"/>
  <c r="AK565" i="3"/>
  <c r="AK562" i="3"/>
  <c r="AK471" i="3"/>
  <c r="AK479" i="3"/>
  <c r="AK487" i="3"/>
  <c r="AK495" i="3"/>
  <c r="AK503" i="3"/>
  <c r="AK511" i="3"/>
  <c r="AK519" i="3"/>
  <c r="AK530" i="3"/>
  <c r="AK559" i="3"/>
  <c r="AK584" i="3"/>
  <c r="AK628" i="3"/>
  <c r="AK624" i="3"/>
  <c r="AK635" i="3"/>
  <c r="AI172" i="3"/>
  <c r="AI167" i="3"/>
  <c r="AI471" i="3"/>
  <c r="AI193" i="3"/>
  <c r="AI209" i="3"/>
  <c r="AI248" i="3"/>
  <c r="AI517" i="3"/>
  <c r="AI356" i="3"/>
  <c r="AI420" i="3"/>
  <c r="AI653" i="3"/>
  <c r="AI633" i="3"/>
  <c r="AI646" i="3"/>
  <c r="AI604" i="3"/>
  <c r="AI596" i="3"/>
  <c r="AI588" i="3"/>
  <c r="AI580" i="3"/>
  <c r="AI572" i="3"/>
  <c r="AI611" i="3"/>
  <c r="AI563" i="3"/>
  <c r="AI555" i="3"/>
  <c r="AI547" i="3"/>
  <c r="AI620" i="3"/>
  <c r="AI528" i="3"/>
  <c r="AI512" i="3"/>
  <c r="AI496" i="3"/>
  <c r="AI480" i="3"/>
  <c r="AI472" i="3"/>
  <c r="AI467" i="3"/>
  <c r="AI463" i="3"/>
  <c r="AI459" i="3"/>
  <c r="AI455" i="3"/>
  <c r="AI451" i="3"/>
  <c r="AI447" i="3"/>
  <c r="AI443" i="3"/>
  <c r="AI439" i="3"/>
  <c r="AI435" i="3"/>
  <c r="AI431" i="3"/>
  <c r="AI427" i="3"/>
  <c r="AI423" i="3"/>
  <c r="AI419" i="3"/>
  <c r="AI415" i="3"/>
  <c r="AI411" i="3"/>
  <c r="AI407" i="3"/>
  <c r="AI403" i="3"/>
  <c r="AI399" i="3"/>
  <c r="AI395" i="3"/>
  <c r="AI391" i="3"/>
  <c r="AI387" i="3"/>
  <c r="AI383" i="3"/>
  <c r="AI379" i="3"/>
  <c r="AI375" i="3"/>
  <c r="AI371" i="3"/>
  <c r="AI367" i="3"/>
  <c r="AI363" i="3"/>
  <c r="AI359" i="3"/>
  <c r="AI355" i="3"/>
  <c r="AI351" i="3"/>
  <c r="AI347" i="3"/>
  <c r="AI343" i="3"/>
  <c r="AI339" i="3"/>
  <c r="AI335" i="3"/>
  <c r="AI331" i="3"/>
  <c r="AI327" i="3"/>
  <c r="AI323" i="3"/>
  <c r="AI319" i="3"/>
  <c r="AI315" i="3"/>
  <c r="AI311" i="3"/>
  <c r="AI307" i="3"/>
  <c r="AI303" i="3"/>
  <c r="AI650" i="3"/>
  <c r="AI529" i="3"/>
  <c r="AI513" i="3"/>
  <c r="AI497" i="3"/>
  <c r="AI481" i="3"/>
  <c r="AI299" i="3"/>
  <c r="AI295" i="3"/>
  <c r="AI291" i="3"/>
  <c r="AI287" i="3"/>
  <c r="AI283" i="3"/>
  <c r="AI279" i="3"/>
  <c r="AI275" i="3"/>
  <c r="AI271" i="3"/>
  <c r="AI267" i="3"/>
  <c r="AI263" i="3"/>
  <c r="AI259" i="3"/>
  <c r="AI255" i="3"/>
  <c r="AI251" i="3"/>
  <c r="AI247" i="3"/>
  <c r="AI243" i="3"/>
  <c r="AI239" i="3"/>
  <c r="AI235" i="3"/>
  <c r="AI231" i="3"/>
  <c r="AI227" i="3"/>
  <c r="AI223" i="3"/>
  <c r="AI219" i="3"/>
  <c r="AI632" i="3"/>
  <c r="AI638" i="3"/>
  <c r="AI603" i="3"/>
  <c r="AI595" i="3"/>
  <c r="AI587" i="3"/>
  <c r="AI579" i="3"/>
  <c r="AI642" i="3"/>
  <c r="AI571" i="3"/>
  <c r="AI562" i="3"/>
  <c r="AI554" i="3"/>
  <c r="AI546" i="3"/>
  <c r="AI618" i="3"/>
  <c r="AI526" i="3"/>
  <c r="AI510" i="3"/>
  <c r="AI494" i="3"/>
  <c r="AI478" i="3"/>
  <c r="AI470" i="3"/>
  <c r="AI466" i="3"/>
  <c r="AI462" i="3"/>
  <c r="AI458" i="3"/>
  <c r="AI454" i="3"/>
  <c r="AI450" i="3"/>
  <c r="AI446" i="3"/>
  <c r="AI442" i="3"/>
  <c r="AI438" i="3"/>
  <c r="AI434" i="3"/>
  <c r="AI430" i="3"/>
  <c r="AI426" i="3"/>
  <c r="AI422" i="3"/>
  <c r="AI418" i="3"/>
  <c r="AI414" i="3"/>
  <c r="AI410" i="3"/>
  <c r="AI406" i="3"/>
  <c r="AI402" i="3"/>
  <c r="AI398" i="3"/>
  <c r="AI394" i="3"/>
  <c r="AI390" i="3"/>
  <c r="AI386" i="3"/>
  <c r="AI382" i="3"/>
  <c r="AI378" i="3"/>
  <c r="AI374" i="3"/>
  <c r="AI370" i="3"/>
  <c r="AI366" i="3"/>
  <c r="AI362" i="3"/>
  <c r="AI358" i="3"/>
  <c r="AI354" i="3"/>
  <c r="AI350" i="3"/>
  <c r="AI346" i="3"/>
  <c r="AI342" i="3"/>
  <c r="AI338" i="3"/>
  <c r="AI334" i="3"/>
  <c r="AI330" i="3"/>
  <c r="AI326" i="3"/>
  <c r="AI322" i="3"/>
  <c r="AI318" i="3"/>
  <c r="AI314" i="3"/>
  <c r="AI310" i="3"/>
  <c r="AI306" i="3"/>
  <c r="AI302" i="3"/>
  <c r="AI541" i="3"/>
  <c r="AI525" i="3"/>
  <c r="AI509" i="3"/>
  <c r="AI493" i="3"/>
  <c r="AI477" i="3"/>
  <c r="AI298" i="3"/>
  <c r="AI294" i="3"/>
  <c r="AI290" i="3"/>
  <c r="AI286" i="3"/>
  <c r="AI282" i="3"/>
  <c r="AI278" i="3"/>
  <c r="AI274" i="3"/>
  <c r="AI270" i="3"/>
  <c r="AI266" i="3"/>
  <c r="AI262" i="3"/>
  <c r="AI258" i="3"/>
  <c r="AI254" i="3"/>
  <c r="AI250" i="3"/>
  <c r="AI246" i="3"/>
  <c r="AI242" i="3"/>
  <c r="AI238" i="3"/>
  <c r="AI234" i="3"/>
  <c r="AI230" i="3"/>
  <c r="AI226" i="3"/>
  <c r="AI222" i="3"/>
  <c r="AI625" i="3"/>
  <c r="AI608" i="3"/>
  <c r="AI600" i="3"/>
  <c r="AI592" i="3"/>
  <c r="AI584" i="3"/>
  <c r="AI576" i="3"/>
  <c r="AI619" i="3"/>
  <c r="AI567" i="3"/>
  <c r="AI559" i="3"/>
  <c r="AI551" i="3"/>
  <c r="AI543" i="3"/>
  <c r="AI536" i="3"/>
  <c r="AI520" i="3"/>
  <c r="AI504" i="3"/>
  <c r="AI488" i="3"/>
  <c r="AI476" i="3"/>
  <c r="AI469" i="3"/>
  <c r="AI465" i="3"/>
  <c r="AI461" i="3"/>
  <c r="AI457" i="3"/>
  <c r="AI453" i="3"/>
  <c r="AI449" i="3"/>
  <c r="AI445" i="3"/>
  <c r="AI441" i="3"/>
  <c r="AI437" i="3"/>
  <c r="AI433" i="3"/>
  <c r="AI429" i="3"/>
  <c r="AI425" i="3"/>
  <c r="AI421" i="3"/>
  <c r="AI417" i="3"/>
  <c r="AI413" i="3"/>
  <c r="AI409" i="3"/>
  <c r="AI405" i="3"/>
  <c r="AI401" i="3"/>
  <c r="AI397" i="3"/>
  <c r="AI393" i="3"/>
  <c r="AI389" i="3"/>
  <c r="AI385" i="3"/>
  <c r="AI381" i="3"/>
  <c r="AI377" i="3"/>
  <c r="AI373" i="3"/>
  <c r="AI369" i="3"/>
  <c r="AI365" i="3"/>
  <c r="AI361" i="3"/>
  <c r="AI357" i="3"/>
  <c r="AI353" i="3"/>
  <c r="AI349" i="3"/>
  <c r="AI345" i="3"/>
  <c r="AI341" i="3"/>
  <c r="AI337" i="3"/>
  <c r="AI333" i="3"/>
  <c r="AI329" i="3"/>
  <c r="AI325" i="3"/>
  <c r="AI321" i="3"/>
  <c r="AI317" i="3"/>
  <c r="AI313" i="3"/>
  <c r="AI309" i="3"/>
  <c r="AI305" i="3"/>
  <c r="AI301" i="3"/>
  <c r="AI537" i="3"/>
  <c r="AI521" i="3"/>
  <c r="AI505" i="3"/>
  <c r="AI489" i="3"/>
  <c r="AI473" i="3"/>
  <c r="AI297" i="3"/>
  <c r="AI293" i="3"/>
  <c r="AI289" i="3"/>
  <c r="AI285" i="3"/>
  <c r="AI281" i="3"/>
  <c r="AI277" i="3"/>
  <c r="AI273" i="3"/>
  <c r="AI269" i="3"/>
  <c r="AI265" i="3"/>
  <c r="AI261" i="3"/>
  <c r="AI257" i="3"/>
  <c r="AI253" i="3"/>
  <c r="AI249" i="3"/>
  <c r="AI245" i="3"/>
  <c r="AI241" i="3"/>
  <c r="AI237" i="3"/>
  <c r="AI233" i="3"/>
  <c r="AI229" i="3"/>
  <c r="AI225" i="3"/>
  <c r="AI221" i="3"/>
  <c r="AI217" i="3"/>
  <c r="AI607" i="3"/>
  <c r="AI575" i="3"/>
  <c r="AI550" i="3"/>
  <c r="AI502" i="3"/>
  <c r="AI464" i="3"/>
  <c r="AI448" i="3"/>
  <c r="AI432" i="3"/>
  <c r="AI416" i="3"/>
  <c r="AI400" i="3"/>
  <c r="AI384" i="3"/>
  <c r="AI368" i="3"/>
  <c r="AI352" i="3"/>
  <c r="AI336" i="3"/>
  <c r="AI320" i="3"/>
  <c r="AI304" i="3"/>
  <c r="AI501" i="3"/>
  <c r="AI292" i="3"/>
  <c r="AI276" i="3"/>
  <c r="AI260" i="3"/>
  <c r="AI244" i="3"/>
  <c r="AI228" i="3"/>
  <c r="AI216" i="3"/>
  <c r="AI212" i="3"/>
  <c r="AI208" i="3"/>
  <c r="AI204" i="3"/>
  <c r="AI200" i="3"/>
  <c r="AI196" i="3"/>
  <c r="AI192" i="3"/>
  <c r="AI188" i="3"/>
  <c r="AI527" i="3"/>
  <c r="AI495" i="3"/>
  <c r="AI159" i="3"/>
  <c r="AI491" i="3"/>
  <c r="AI181" i="3"/>
  <c r="AI173" i="3"/>
  <c r="AI165" i="3"/>
  <c r="AI523" i="3"/>
  <c r="AI186" i="3"/>
  <c r="AI178" i="3"/>
  <c r="AI171" i="3"/>
  <c r="AI162" i="3"/>
  <c r="AI599" i="3"/>
  <c r="AI616" i="3"/>
  <c r="AI542" i="3"/>
  <c r="AI486" i="3"/>
  <c r="AI460" i="3"/>
  <c r="AI444" i="3"/>
  <c r="AI428" i="3"/>
  <c r="AI412" i="3"/>
  <c r="AI396" i="3"/>
  <c r="AI380" i="3"/>
  <c r="AI364" i="3"/>
  <c r="AI348" i="3"/>
  <c r="AI332" i="3"/>
  <c r="AI316" i="3"/>
  <c r="AI614" i="3"/>
  <c r="AI485" i="3"/>
  <c r="AI288" i="3"/>
  <c r="AI272" i="3"/>
  <c r="AI256" i="3"/>
  <c r="AI240" i="3"/>
  <c r="AI224" i="3"/>
  <c r="AI215" i="3"/>
  <c r="AI211" i="3"/>
  <c r="AI207" i="3"/>
  <c r="AI203" i="3"/>
  <c r="AI199" i="3"/>
  <c r="AI195" i="3"/>
  <c r="AI191" i="3"/>
  <c r="AI187" i="3"/>
  <c r="AI519" i="3"/>
  <c r="AI487" i="3"/>
  <c r="AI531" i="3"/>
  <c r="AI475" i="3"/>
  <c r="AI179" i="3"/>
  <c r="AI170" i="3"/>
  <c r="AI163" i="3"/>
  <c r="AI499" i="3"/>
  <c r="AI184" i="3"/>
  <c r="AI176" i="3"/>
  <c r="AI168" i="3"/>
  <c r="AI160" i="3"/>
  <c r="AI591" i="3"/>
  <c r="AI566" i="3"/>
  <c r="AI534" i="3"/>
  <c r="AI474" i="3"/>
  <c r="AI456" i="3"/>
  <c r="AI440" i="3"/>
  <c r="AI424" i="3"/>
  <c r="AI408" i="3"/>
  <c r="AI392" i="3"/>
  <c r="AI376" i="3"/>
  <c r="AI360" i="3"/>
  <c r="AI344" i="3"/>
  <c r="AI328" i="3"/>
  <c r="AI312" i="3"/>
  <c r="AI533" i="3"/>
  <c r="AI300" i="3"/>
  <c r="AI284" i="3"/>
  <c r="AI268" i="3"/>
  <c r="AI252" i="3"/>
  <c r="AI236" i="3"/>
  <c r="AI220" i="3"/>
  <c r="AI214" i="3"/>
  <c r="AI210" i="3"/>
  <c r="AI206" i="3"/>
  <c r="AI202" i="3"/>
  <c r="AI198" i="3"/>
  <c r="AI194" i="3"/>
  <c r="AI190" i="3"/>
  <c r="AI615" i="3"/>
  <c r="AI511" i="3"/>
  <c r="AI479" i="3"/>
  <c r="AI515" i="3"/>
  <c r="AI185" i="3"/>
  <c r="AI177" i="3"/>
  <c r="AI169" i="3"/>
  <c r="AI161" i="3"/>
  <c r="AI483" i="3"/>
  <c r="AI182" i="3"/>
  <c r="AI174" i="3"/>
  <c r="AI166" i="3"/>
  <c r="AK159" i="3"/>
  <c r="AK199" i="3"/>
  <c r="AK211" i="3"/>
  <c r="AK225" i="3"/>
  <c r="AK241" i="3"/>
  <c r="AK257" i="3"/>
  <c r="AK271" i="3"/>
  <c r="AK287" i="3"/>
  <c r="AK306" i="3"/>
  <c r="AK338" i="3"/>
  <c r="AK370" i="3"/>
  <c r="AK402" i="3"/>
  <c r="AK434" i="3"/>
  <c r="AK466" i="3"/>
  <c r="AK160" i="3"/>
  <c r="AK164" i="3"/>
  <c r="AK168" i="3"/>
  <c r="AK172" i="3"/>
  <c r="AK176" i="3"/>
  <c r="AK180" i="3"/>
  <c r="AK184" i="3"/>
  <c r="AK587" i="3"/>
  <c r="AK195" i="3"/>
  <c r="AK219" i="3"/>
  <c r="AK235" i="3"/>
  <c r="AK251" i="3"/>
  <c r="AK269" i="3"/>
  <c r="AK285" i="3"/>
  <c r="AK302" i="3"/>
  <c r="AK334" i="3"/>
  <c r="AK366" i="3"/>
  <c r="AK398" i="3"/>
  <c r="AK430" i="3"/>
  <c r="AK462" i="3"/>
  <c r="AK192" i="3"/>
  <c r="AK200" i="3"/>
  <c r="AK208" i="3"/>
  <c r="AK216" i="3"/>
  <c r="AK224" i="3"/>
  <c r="AK232" i="3"/>
  <c r="AK240" i="3"/>
  <c r="AK248" i="3"/>
  <c r="AK256" i="3"/>
  <c r="AK264" i="3"/>
  <c r="AK272" i="3"/>
  <c r="AK280" i="3"/>
  <c r="AK288" i="3"/>
  <c r="AK296" i="3"/>
  <c r="AK308" i="3"/>
  <c r="AK324" i="3"/>
  <c r="AK340" i="3"/>
  <c r="AK356" i="3"/>
  <c r="AK372" i="3"/>
  <c r="AK388" i="3"/>
  <c r="AK404" i="3"/>
  <c r="AK420" i="3"/>
  <c r="AK436" i="3"/>
  <c r="AK452" i="3"/>
  <c r="AK468" i="3"/>
  <c r="AK560" i="3"/>
  <c r="AK303" i="3"/>
  <c r="AK311" i="3"/>
  <c r="AK319" i="3"/>
  <c r="AK327" i="3"/>
  <c r="AK335" i="3"/>
  <c r="AK343" i="3"/>
  <c r="AK351" i="3"/>
  <c r="AK359" i="3"/>
  <c r="AK367" i="3"/>
  <c r="AK375" i="3"/>
  <c r="AK383" i="3"/>
  <c r="AK391" i="3"/>
  <c r="AK399" i="3"/>
  <c r="AK407" i="3"/>
  <c r="AK415" i="3"/>
  <c r="AK423" i="3"/>
  <c r="AK431" i="3"/>
  <c r="AK439" i="3"/>
  <c r="AK447" i="3"/>
  <c r="AK455" i="3"/>
  <c r="AK467" i="3"/>
  <c r="AK579" i="3"/>
  <c r="AK542" i="3"/>
  <c r="AK583" i="3"/>
  <c r="AK474" i="3"/>
  <c r="AK482" i="3"/>
  <c r="AK490" i="3"/>
  <c r="AK498" i="3"/>
  <c r="AK506" i="3"/>
  <c r="AK514" i="3"/>
  <c r="AK522" i="3"/>
  <c r="AK534" i="3"/>
  <c r="AK585" i="3"/>
  <c r="AK592" i="3"/>
  <c r="AK612" i="3"/>
  <c r="AK625" i="3"/>
  <c r="AK651" i="3"/>
  <c r="AI180" i="3"/>
  <c r="AI175" i="3"/>
  <c r="AI503" i="3"/>
  <c r="AI197" i="3"/>
  <c r="AI213" i="3"/>
  <c r="AI264" i="3"/>
  <c r="AI308" i="3"/>
  <c r="AI372" i="3"/>
  <c r="AI436" i="3"/>
  <c r="AI558" i="3"/>
  <c r="AK189" i="3"/>
  <c r="AK201" i="3"/>
  <c r="AK215" i="3"/>
  <c r="AK229" i="3"/>
  <c r="AK245" i="3"/>
  <c r="AK261" i="3"/>
  <c r="AK275" i="3"/>
  <c r="AK291" i="3"/>
  <c r="AK314" i="3"/>
  <c r="AK346" i="3"/>
  <c r="AK378" i="3"/>
  <c r="AK410" i="3"/>
  <c r="AK442" i="3"/>
  <c r="AK545" i="3"/>
  <c r="AK161" i="3"/>
  <c r="AK165" i="3"/>
  <c r="AK169" i="3"/>
  <c r="AK173" i="3"/>
  <c r="AK177" i="3"/>
  <c r="AK181" i="3"/>
  <c r="AK185" i="3"/>
  <c r="AK552" i="3"/>
  <c r="AK203" i="3"/>
  <c r="AK223" i="3"/>
  <c r="AK239" i="3"/>
  <c r="AK255" i="3"/>
  <c r="AK273" i="3"/>
  <c r="AK289" i="3"/>
  <c r="AK310" i="3"/>
  <c r="AK342" i="3"/>
  <c r="AK374" i="3"/>
  <c r="AK406" i="3"/>
  <c r="AK438" i="3"/>
  <c r="AK470" i="3"/>
  <c r="AK194" i="3"/>
  <c r="AK202" i="3"/>
  <c r="AK210" i="3"/>
  <c r="AK218" i="3"/>
  <c r="AK226" i="3"/>
  <c r="AK234" i="3"/>
  <c r="AK242" i="3"/>
  <c r="AK250" i="3"/>
  <c r="AK258" i="3"/>
  <c r="AK266" i="3"/>
  <c r="AK274" i="3"/>
  <c r="AK282" i="3"/>
  <c r="AK290" i="3"/>
  <c r="AK298" i="3"/>
  <c r="AK312" i="3"/>
  <c r="AK328" i="3"/>
  <c r="AK344" i="3"/>
  <c r="AK360" i="3"/>
  <c r="AK376" i="3"/>
  <c r="AK392" i="3"/>
  <c r="AK408" i="3"/>
  <c r="AK424" i="3"/>
  <c r="AK440" i="3"/>
  <c r="AK456" i="3"/>
  <c r="AK561" i="3"/>
  <c r="AK571" i="3"/>
  <c r="AK305" i="3"/>
  <c r="AK313" i="3"/>
  <c r="AK321" i="3"/>
  <c r="AK329" i="3"/>
  <c r="AK337" i="3"/>
  <c r="AK345" i="3"/>
  <c r="AK353" i="3"/>
  <c r="AK361" i="3"/>
  <c r="AK369" i="3"/>
  <c r="AK377" i="3"/>
  <c r="AK385" i="3"/>
  <c r="AK393" i="3"/>
  <c r="AK401" i="3"/>
  <c r="AK409" i="3"/>
  <c r="AK417" i="3"/>
  <c r="AK425" i="3"/>
  <c r="AK433" i="3"/>
  <c r="AK441" i="3"/>
  <c r="AK449" i="3"/>
  <c r="AK457" i="3"/>
  <c r="AK469" i="3"/>
  <c r="AK595" i="3"/>
  <c r="AK546" i="3"/>
  <c r="AK591" i="3"/>
  <c r="AK475" i="3"/>
  <c r="AK483" i="3"/>
  <c r="AK491" i="3"/>
  <c r="AK499" i="3"/>
  <c r="AK507" i="3"/>
  <c r="AK515" i="3"/>
  <c r="AK523" i="3"/>
  <c r="AK538" i="3"/>
  <c r="AK626" i="3"/>
  <c r="AK600" i="3"/>
  <c r="AK616" i="3"/>
  <c r="AK633" i="3"/>
  <c r="AI570" i="3"/>
  <c r="AI183" i="3"/>
  <c r="AI535" i="3"/>
  <c r="AI201" i="3"/>
  <c r="AI218" i="3"/>
  <c r="AI280" i="3"/>
  <c r="AI324" i="3"/>
  <c r="AI388" i="3"/>
  <c r="AI452" i="3"/>
  <c r="AI583" i="3"/>
  <c r="V80" i="2"/>
  <c r="AI482" i="3"/>
  <c r="AI490" i="3"/>
  <c r="AI498" i="3"/>
  <c r="AI506" i="3"/>
  <c r="AI514" i="3"/>
  <c r="AI522" i="3"/>
  <c r="AI530" i="3"/>
  <c r="AI538" i="3"/>
  <c r="AI622" i="3"/>
  <c r="AI544" i="3"/>
  <c r="AI548" i="3"/>
  <c r="AI552" i="3"/>
  <c r="AI556" i="3"/>
  <c r="AI560" i="3"/>
  <c r="AI564" i="3"/>
  <c r="AI568" i="3"/>
  <c r="AI643" i="3"/>
  <c r="AI621" i="3"/>
  <c r="AI573" i="3"/>
  <c r="AI577" i="3"/>
  <c r="AI581" i="3"/>
  <c r="AI585" i="3"/>
  <c r="AI589" i="3"/>
  <c r="AI593" i="3"/>
  <c r="AI597" i="3"/>
  <c r="AI601" i="3"/>
  <c r="AI605" i="3"/>
  <c r="AI613" i="3"/>
  <c r="AI636" i="3"/>
  <c r="AI628" i="3"/>
  <c r="AI641" i="3"/>
  <c r="AI484" i="3"/>
  <c r="AI492" i="3"/>
  <c r="AI500" i="3"/>
  <c r="AI508" i="3"/>
  <c r="AI516" i="3"/>
  <c r="AI524" i="3"/>
  <c r="AI532" i="3"/>
  <c r="AI540" i="3"/>
  <c r="AI624" i="3"/>
  <c r="AI545" i="3"/>
  <c r="AI549" i="3"/>
  <c r="AI553" i="3"/>
  <c r="AI557" i="3"/>
  <c r="AI561" i="3"/>
  <c r="AI565" i="3"/>
  <c r="AI569" i="3"/>
  <c r="AI612" i="3"/>
  <c r="AI623" i="3"/>
  <c r="AI574" i="3"/>
  <c r="AI578" i="3"/>
  <c r="AI582" i="3"/>
  <c r="AI586" i="3"/>
  <c r="AI590" i="3"/>
  <c r="AI594" i="3"/>
  <c r="AI598" i="3"/>
  <c r="AI602" i="3"/>
  <c r="AI606" i="3"/>
  <c r="AI617" i="3"/>
  <c r="AI640" i="3"/>
  <c r="AI629" i="3"/>
  <c r="AI645" i="3"/>
  <c r="V86" i="2"/>
  <c r="V78" i="2"/>
  <c r="V81" i="2"/>
  <c r="V83" i="2"/>
  <c r="AI609" i="3"/>
  <c r="AI635" i="3"/>
  <c r="AI639" i="3"/>
  <c r="AI644" i="3"/>
  <c r="AI626" i="3"/>
  <c r="AI630" i="3"/>
  <c r="AI634" i="3"/>
  <c r="AI649" i="3"/>
  <c r="AI610" i="3"/>
  <c r="AI651" i="3"/>
  <c r="AI647" i="3"/>
  <c r="AI648" i="3"/>
  <c r="AI627" i="3"/>
  <c r="AI631" i="3"/>
  <c r="AI637" i="3"/>
  <c r="AF159" i="3"/>
  <c r="AF202" i="3"/>
  <c r="AF218" i="3"/>
  <c r="AF234" i="3"/>
  <c r="AF250" i="3"/>
  <c r="AF268" i="3"/>
  <c r="AF282" i="3"/>
  <c r="AF298" i="3"/>
  <c r="AF325" i="3"/>
  <c r="AF357" i="3"/>
  <c r="AF389" i="3"/>
  <c r="AF421" i="3"/>
  <c r="AF453" i="3"/>
  <c r="AF166" i="3"/>
  <c r="AF189" i="3"/>
  <c r="AF221" i="3"/>
  <c r="AF253" i="3"/>
  <c r="AF285" i="3"/>
  <c r="AF335" i="3"/>
  <c r="AF399" i="3"/>
  <c r="AF463" i="3"/>
  <c r="AF244" i="3"/>
  <c r="AF441" i="3"/>
  <c r="AF322" i="3"/>
  <c r="AF386" i="3"/>
  <c r="AF450" i="3"/>
  <c r="AF569" i="3"/>
  <c r="AF491" i="3"/>
  <c r="AF523" i="3"/>
  <c r="AF614" i="3"/>
  <c r="AF190" i="3"/>
  <c r="AF206" i="3"/>
  <c r="AF222" i="3"/>
  <c r="AF240" i="3"/>
  <c r="AF254" i="3"/>
  <c r="AF272" i="3"/>
  <c r="AF286" i="3"/>
  <c r="AF301" i="3"/>
  <c r="AF333" i="3"/>
  <c r="AF365" i="3"/>
  <c r="AF397" i="3"/>
  <c r="AF429" i="3"/>
  <c r="AF461" i="3"/>
  <c r="AF168" i="3"/>
  <c r="AF193" i="3"/>
  <c r="AF225" i="3"/>
  <c r="AF257" i="3"/>
  <c r="AF289" i="3"/>
  <c r="AF343" i="3"/>
  <c r="AF407" i="3"/>
  <c r="AF188" i="3"/>
  <c r="AF260" i="3"/>
  <c r="AF591" i="3"/>
  <c r="AF330" i="3"/>
  <c r="AF394" i="3"/>
  <c r="AF458" i="3"/>
  <c r="AF594" i="3"/>
  <c r="AF495" i="3"/>
  <c r="AF527" i="3"/>
  <c r="AF622" i="3"/>
  <c r="AJ224" i="3"/>
  <c r="AJ316" i="3"/>
  <c r="AJ189" i="3"/>
  <c r="AJ402" i="3"/>
  <c r="AJ329" i="3"/>
  <c r="AJ235" i="3"/>
  <c r="AJ165" i="3"/>
  <c r="AJ250" i="3"/>
  <c r="AJ372" i="3"/>
  <c r="AJ285" i="3"/>
  <c r="AJ381" i="3"/>
  <c r="AJ265" i="3"/>
  <c r="AJ181" i="3"/>
  <c r="AJ266" i="3"/>
  <c r="AJ404" i="3"/>
  <c r="AJ398" i="3"/>
  <c r="AJ445" i="3"/>
  <c r="AJ338" i="3"/>
  <c r="AJ208" i="3"/>
  <c r="AJ292" i="3"/>
  <c r="AJ456" i="3"/>
  <c r="AJ554" i="3"/>
  <c r="AJ485" i="3"/>
  <c r="AF469" i="3"/>
  <c r="AF162" i="3"/>
  <c r="AF170" i="3"/>
  <c r="AF186" i="3"/>
  <c r="AF197" i="3"/>
  <c r="AF213" i="3"/>
  <c r="AF229" i="3"/>
  <c r="AF245" i="3"/>
  <c r="AF261" i="3"/>
  <c r="AF277" i="3"/>
  <c r="AF293" i="3"/>
  <c r="AF319" i="3"/>
  <c r="AF351" i="3"/>
  <c r="AF383" i="3"/>
  <c r="AF415" i="3"/>
  <c r="AF447" i="3"/>
  <c r="AF196" i="3"/>
  <c r="AF228" i="3"/>
  <c r="AF276" i="3"/>
  <c r="AF377" i="3"/>
  <c r="AF167" i="3"/>
  <c r="AF306" i="3"/>
  <c r="AF338" i="3"/>
  <c r="AF370" i="3"/>
  <c r="AF402" i="3"/>
  <c r="AF434" i="3"/>
  <c r="AF466" i="3"/>
  <c r="AF583" i="3"/>
  <c r="AF623" i="3"/>
  <c r="AF483" i="3"/>
  <c r="AF499" i="3"/>
  <c r="AF515" i="3"/>
  <c r="AF534" i="3"/>
  <c r="AF555" i="3"/>
  <c r="AF634" i="3"/>
  <c r="AF556" i="3"/>
  <c r="AF164" i="3"/>
  <c r="AF174" i="3"/>
  <c r="AF625" i="3"/>
  <c r="AF201" i="3"/>
  <c r="AF217" i="3"/>
  <c r="AF233" i="3"/>
  <c r="AF249" i="3"/>
  <c r="AF265" i="3"/>
  <c r="AF281" i="3"/>
  <c r="AF297" i="3"/>
  <c r="AF327" i="3"/>
  <c r="AF359" i="3"/>
  <c r="AF391" i="3"/>
  <c r="AF423" i="3"/>
  <c r="AF455" i="3"/>
  <c r="AF204" i="3"/>
  <c r="AF236" i="3"/>
  <c r="AF292" i="3"/>
  <c r="AF409" i="3"/>
  <c r="AF175" i="3"/>
  <c r="AF314" i="3"/>
  <c r="AF346" i="3"/>
  <c r="AF378" i="3"/>
  <c r="AF410" i="3"/>
  <c r="AF442" i="3"/>
  <c r="AF564" i="3"/>
  <c r="AF619" i="3"/>
  <c r="AF471" i="3"/>
  <c r="AF487" i="3"/>
  <c r="AF503" i="3"/>
  <c r="AF519" i="3"/>
  <c r="AF542" i="3"/>
  <c r="AF589" i="3"/>
  <c r="AF650" i="3"/>
  <c r="AJ191" i="3"/>
  <c r="AJ275" i="3"/>
  <c r="AJ426" i="3"/>
  <c r="AJ185" i="3"/>
  <c r="AJ228" i="3"/>
  <c r="AJ272" i="3"/>
  <c r="AJ328" i="3"/>
  <c r="AJ412" i="3"/>
  <c r="AJ201" i="3"/>
  <c r="AJ438" i="3"/>
  <c r="AJ339" i="3"/>
  <c r="AJ469" i="3"/>
  <c r="AJ533" i="3"/>
  <c r="AJ223" i="3"/>
  <c r="AJ314" i="3"/>
  <c r="AJ161" i="3"/>
  <c r="AJ202" i="3"/>
  <c r="AJ244" i="3"/>
  <c r="AJ288" i="3"/>
  <c r="AJ360" i="3"/>
  <c r="AJ444" i="3"/>
  <c r="AJ267" i="3"/>
  <c r="AJ180" i="3"/>
  <c r="AJ371" i="3"/>
  <c r="AJ475" i="3"/>
  <c r="AD460" i="3"/>
  <c r="AD279" i="3"/>
  <c r="AD215" i="3"/>
  <c r="AD530" i="3"/>
  <c r="AD396" i="3"/>
  <c r="AD263" i="3"/>
  <c r="AD199" i="3"/>
  <c r="AD632" i="3"/>
  <c r="AD332" i="3"/>
  <c r="AD247" i="3"/>
  <c r="AD184" i="3"/>
  <c r="AJ203" i="3"/>
  <c r="AJ243" i="3"/>
  <c r="AJ287" i="3"/>
  <c r="AJ362" i="3"/>
  <c r="AJ442" i="3"/>
  <c r="AJ171" i="3"/>
  <c r="AJ192" i="3"/>
  <c r="AJ212" i="3"/>
  <c r="AJ234" i="3"/>
  <c r="AJ256" i="3"/>
  <c r="AJ276" i="3"/>
  <c r="AJ298" i="3"/>
  <c r="AJ340" i="3"/>
  <c r="AJ380" i="3"/>
  <c r="AJ424" i="3"/>
  <c r="AJ468" i="3"/>
  <c r="AJ221" i="3"/>
  <c r="AJ310" i="3"/>
  <c r="AJ160" i="3"/>
  <c r="AJ307" i="3"/>
  <c r="AJ349" i="3"/>
  <c r="AJ405" i="3"/>
  <c r="AJ549" i="3"/>
  <c r="AJ495" i="3"/>
  <c r="AD552" i="3"/>
  <c r="AJ647" i="3"/>
  <c r="AJ617" i="3"/>
  <c r="AJ576" i="3"/>
  <c r="AJ529" i="3"/>
  <c r="AJ515" i="3"/>
  <c r="AJ503" i="3"/>
  <c r="AJ493" i="3"/>
  <c r="AJ483" i="3"/>
  <c r="AJ471" i="3"/>
  <c r="AJ542" i="3"/>
  <c r="AJ582" i="3"/>
  <c r="AJ461" i="3"/>
  <c r="AJ441" i="3"/>
  <c r="AJ421" i="3"/>
  <c r="AJ397" i="3"/>
  <c r="AJ379" i="3"/>
  <c r="AJ369" i="3"/>
  <c r="AJ357" i="3"/>
  <c r="AJ347" i="3"/>
  <c r="AJ337" i="3"/>
  <c r="AJ325" i="3"/>
  <c r="AJ315" i="3"/>
  <c r="AJ305" i="3"/>
  <c r="AJ598" i="3"/>
  <c r="AJ178" i="3"/>
  <c r="AJ168" i="3"/>
  <c r="AJ470" i="3"/>
  <c r="AJ430" i="3"/>
  <c r="AJ390" i="3"/>
  <c r="AJ342" i="3"/>
  <c r="AJ302" i="3"/>
  <c r="AJ281" i="3"/>
  <c r="AJ257" i="3"/>
  <c r="AJ239" i="3"/>
  <c r="AJ217" i="3"/>
  <c r="AJ193" i="3"/>
  <c r="AJ561" i="3"/>
  <c r="AJ452" i="3"/>
  <c r="AJ428" i="3"/>
  <c r="AJ408" i="3"/>
  <c r="AJ388" i="3"/>
  <c r="AJ364" i="3"/>
  <c r="AJ344" i="3"/>
  <c r="AJ324" i="3"/>
  <c r="AJ300" i="3"/>
  <c r="AJ290" i="3"/>
  <c r="AJ280" i="3"/>
  <c r="AJ268" i="3"/>
  <c r="AJ258" i="3"/>
  <c r="AJ248" i="3"/>
  <c r="AJ236" i="3"/>
  <c r="AJ226" i="3"/>
  <c r="AJ216" i="3"/>
  <c r="AJ204" i="3"/>
  <c r="AJ194" i="3"/>
  <c r="AJ184" i="3"/>
  <c r="AJ173" i="3"/>
  <c r="AJ163" i="3"/>
  <c r="AJ458" i="3"/>
  <c r="AJ410" i="3"/>
  <c r="AJ370" i="3"/>
  <c r="AJ330" i="3"/>
  <c r="AJ291" i="3"/>
  <c r="AJ269" i="3"/>
  <c r="AJ251" i="3"/>
  <c r="AJ227" i="3"/>
  <c r="AJ207" i="3"/>
  <c r="AJ187" i="3"/>
  <c r="AJ606" i="3"/>
  <c r="AJ457" i="3"/>
  <c r="AJ413" i="3"/>
  <c r="AJ377" i="3"/>
  <c r="AJ355" i="3"/>
  <c r="AJ333" i="3"/>
  <c r="AJ313" i="3"/>
  <c r="AJ591" i="3"/>
  <c r="AJ164" i="3"/>
  <c r="AJ422" i="3"/>
  <c r="AJ334" i="3"/>
  <c r="AJ273" i="3"/>
  <c r="AJ233" i="3"/>
  <c r="AJ646" i="3"/>
  <c r="AJ595" i="3"/>
  <c r="AJ555" i="3"/>
  <c r="AJ525" i="3"/>
  <c r="AJ511" i="3"/>
  <c r="AJ501" i="3"/>
  <c r="AJ491" i="3"/>
  <c r="AJ479" i="3"/>
  <c r="AJ597" i="3"/>
  <c r="AJ596" i="3"/>
  <c r="AJ437" i="3"/>
  <c r="AJ393" i="3"/>
  <c r="AJ365" i="3"/>
  <c r="AJ345" i="3"/>
  <c r="AJ323" i="3"/>
  <c r="AJ301" i="3"/>
  <c r="AJ176" i="3"/>
  <c r="AJ462" i="3"/>
  <c r="AJ374" i="3"/>
  <c r="AJ297" i="3"/>
  <c r="AJ253" i="3"/>
  <c r="AJ209" i="3"/>
  <c r="AJ621" i="3"/>
  <c r="AJ548" i="3"/>
  <c r="AJ541" i="3"/>
  <c r="AJ519" i="3"/>
  <c r="AJ509" i="3"/>
  <c r="AJ499" i="3"/>
  <c r="AJ487" i="3"/>
  <c r="AJ477" i="3"/>
  <c r="AJ590" i="3"/>
  <c r="AJ565" i="3"/>
  <c r="AJ569" i="3"/>
  <c r="AJ453" i="3"/>
  <c r="AJ429" i="3"/>
  <c r="AJ409" i="3"/>
  <c r="AJ389" i="3"/>
  <c r="AJ373" i="3"/>
  <c r="AJ363" i="3"/>
  <c r="AJ353" i="3"/>
  <c r="AJ341" i="3"/>
  <c r="AJ331" i="3"/>
  <c r="AJ321" i="3"/>
  <c r="AJ309" i="3"/>
  <c r="AJ641" i="3"/>
  <c r="AJ186" i="3"/>
  <c r="AJ172" i="3"/>
  <c r="AJ162" i="3"/>
  <c r="AJ454" i="3"/>
  <c r="AJ406" i="3"/>
  <c r="AJ366" i="3"/>
  <c r="AJ326" i="3"/>
  <c r="AJ289" i="3"/>
  <c r="AJ271" i="3"/>
  <c r="AJ249" i="3"/>
  <c r="AJ225" i="3"/>
  <c r="AJ205" i="3"/>
  <c r="AJ159" i="3"/>
  <c r="AJ460" i="3"/>
  <c r="AJ440" i="3"/>
  <c r="AJ420" i="3"/>
  <c r="AJ396" i="3"/>
  <c r="AJ376" i="3"/>
  <c r="AJ356" i="3"/>
  <c r="AJ332" i="3"/>
  <c r="AJ312" i="3"/>
  <c r="AJ296" i="3"/>
  <c r="AJ284" i="3"/>
  <c r="AJ274" i="3"/>
  <c r="AJ264" i="3"/>
  <c r="AJ252" i="3"/>
  <c r="AJ242" i="3"/>
  <c r="AJ232" i="3"/>
  <c r="AJ220" i="3"/>
  <c r="AJ210" i="3"/>
  <c r="AJ200" i="3"/>
  <c r="AJ188" i="3"/>
  <c r="AJ179" i="3"/>
  <c r="AJ169" i="3"/>
  <c r="AJ545" i="3"/>
  <c r="AJ434" i="3"/>
  <c r="AJ394" i="3"/>
  <c r="AJ346" i="3"/>
  <c r="AJ306" i="3"/>
  <c r="AJ283" i="3"/>
  <c r="AJ259" i="3"/>
  <c r="AJ237" i="3"/>
  <c r="AJ219" i="3"/>
  <c r="AJ195" i="3"/>
  <c r="AJ211" i="3"/>
  <c r="AJ255" i="3"/>
  <c r="AJ299" i="3"/>
  <c r="AJ378" i="3"/>
  <c r="AJ466" i="3"/>
  <c r="AJ177" i="3"/>
  <c r="AJ196" i="3"/>
  <c r="AJ218" i="3"/>
  <c r="AJ240" i="3"/>
  <c r="AJ260" i="3"/>
  <c r="AJ282" i="3"/>
  <c r="AJ308" i="3"/>
  <c r="AJ348" i="3"/>
  <c r="AJ392" i="3"/>
  <c r="AJ436" i="3"/>
  <c r="AJ573" i="3"/>
  <c r="AJ241" i="3"/>
  <c r="AJ358" i="3"/>
  <c r="AJ170" i="3"/>
  <c r="AJ317" i="3"/>
  <c r="AJ361" i="3"/>
  <c r="AJ425" i="3"/>
  <c r="AJ558" i="3"/>
  <c r="AJ507" i="3"/>
  <c r="AJ649" i="3"/>
  <c r="AD168" i="3"/>
  <c r="AD231" i="3"/>
  <c r="AD651" i="3"/>
  <c r="AD647" i="3"/>
  <c r="AD643" i="3"/>
  <c r="AD639" i="3"/>
  <c r="AD635" i="3"/>
  <c r="AD631" i="3"/>
  <c r="AD627" i="3"/>
  <c r="AD623" i="3"/>
  <c r="AD619" i="3"/>
  <c r="AD612" i="3"/>
  <c r="AD607" i="3"/>
  <c r="AD603" i="3"/>
  <c r="AD599" i="3"/>
  <c r="AD595" i="3"/>
  <c r="AD591" i="3"/>
  <c r="AD587" i="3"/>
  <c r="AD583" i="3"/>
  <c r="AD579" i="3"/>
  <c r="AD575" i="3"/>
  <c r="AD571" i="3"/>
  <c r="AD564" i="3"/>
  <c r="AD548" i="3"/>
  <c r="AD559" i="3"/>
  <c r="AD543" i="3"/>
  <c r="AD546" i="3"/>
  <c r="AD545" i="3"/>
  <c r="AD535" i="3"/>
  <c r="AD527" i="3"/>
  <c r="AD519" i="3"/>
  <c r="AD511" i="3"/>
  <c r="AD503" i="3"/>
  <c r="AD495" i="3"/>
  <c r="AD487" i="3"/>
  <c r="AD479" i="3"/>
  <c r="AD471" i="3"/>
  <c r="AD467" i="3"/>
  <c r="AD463" i="3"/>
  <c r="AD459" i="3"/>
  <c r="AD455" i="3"/>
  <c r="AD451" i="3"/>
  <c r="AD447" i="3"/>
  <c r="AD443" i="3"/>
  <c r="AD439" i="3"/>
  <c r="AD435" i="3"/>
  <c r="AD431" i="3"/>
  <c r="AD427" i="3"/>
  <c r="AD423" i="3"/>
  <c r="AD419" i="3"/>
  <c r="AD415" i="3"/>
  <c r="AD411" i="3"/>
  <c r="AD407" i="3"/>
  <c r="AD403" i="3"/>
  <c r="AD399" i="3"/>
  <c r="AD395" i="3"/>
  <c r="AD391" i="3"/>
  <c r="AD387" i="3"/>
  <c r="AD383" i="3"/>
  <c r="AD379" i="3"/>
  <c r="AD375" i="3"/>
  <c r="AD371" i="3"/>
  <c r="AD367" i="3"/>
  <c r="AD363" i="3"/>
  <c r="AD359" i="3"/>
  <c r="AD355" i="3"/>
  <c r="AD351" i="3"/>
  <c r="AD347" i="3"/>
  <c r="AD343" i="3"/>
  <c r="AD339" i="3"/>
  <c r="AD335" i="3"/>
  <c r="AD331" i="3"/>
  <c r="AD327" i="3"/>
  <c r="AD323" i="3"/>
  <c r="AD319" i="3"/>
  <c r="AD315" i="3"/>
  <c r="AD311" i="3"/>
  <c r="AD307" i="3"/>
  <c r="AD303" i="3"/>
  <c r="AD566" i="3"/>
  <c r="AD536" i="3"/>
  <c r="AD520" i="3"/>
  <c r="AD504" i="3"/>
  <c r="AD488" i="3"/>
  <c r="AD472" i="3"/>
  <c r="AD297" i="3"/>
  <c r="AD293" i="3"/>
  <c r="AD650" i="3"/>
  <c r="AD646" i="3"/>
  <c r="AD642" i="3"/>
  <c r="AD638" i="3"/>
  <c r="AD634" i="3"/>
  <c r="AD630" i="3"/>
  <c r="AD626" i="3"/>
  <c r="AD622" i="3"/>
  <c r="AD617" i="3"/>
  <c r="AD610" i="3"/>
  <c r="AD606" i="3"/>
  <c r="AD602" i="3"/>
  <c r="AD598" i="3"/>
  <c r="AD594" i="3"/>
  <c r="AD590" i="3"/>
  <c r="AD586" i="3"/>
  <c r="AD582" i="3"/>
  <c r="AD578" i="3"/>
  <c r="AD574" i="3"/>
  <c r="AD615" i="3"/>
  <c r="AD560" i="3"/>
  <c r="AD544" i="3"/>
  <c r="AD555" i="3"/>
  <c r="AD570" i="3"/>
  <c r="AD569" i="3"/>
  <c r="AD541" i="3"/>
  <c r="AD533" i="3"/>
  <c r="AD525" i="3"/>
  <c r="AD517" i="3"/>
  <c r="AD509" i="3"/>
  <c r="AD501" i="3"/>
  <c r="AD493" i="3"/>
  <c r="AD485" i="3"/>
  <c r="AD477" i="3"/>
  <c r="AD470" i="3"/>
  <c r="AD466" i="3"/>
  <c r="AD462" i="3"/>
  <c r="AD458" i="3"/>
  <c r="AD454" i="3"/>
  <c r="AD450" i="3"/>
  <c r="AD446" i="3"/>
  <c r="AD442" i="3"/>
  <c r="AD438" i="3"/>
  <c r="AD434" i="3"/>
  <c r="AD430" i="3"/>
  <c r="AD426" i="3"/>
  <c r="AD422" i="3"/>
  <c r="AD418" i="3"/>
  <c r="AD414" i="3"/>
  <c r="AD410" i="3"/>
  <c r="AD406" i="3"/>
  <c r="AD402" i="3"/>
  <c r="AD398" i="3"/>
  <c r="AD394" i="3"/>
  <c r="AD390" i="3"/>
  <c r="AD386" i="3"/>
  <c r="AD382" i="3"/>
  <c r="AD378" i="3"/>
  <c r="AD374" i="3"/>
  <c r="AD370" i="3"/>
  <c r="AD366" i="3"/>
  <c r="AD362" i="3"/>
  <c r="AD358" i="3"/>
  <c r="AD354" i="3"/>
  <c r="AD350" i="3"/>
  <c r="AD346" i="3"/>
  <c r="AD342" i="3"/>
  <c r="AD338" i="3"/>
  <c r="AD334" i="3"/>
  <c r="AD330" i="3"/>
  <c r="AD326" i="3"/>
  <c r="AD322" i="3"/>
  <c r="AD318" i="3"/>
  <c r="AD314" i="3"/>
  <c r="AD310" i="3"/>
  <c r="AD306" i="3"/>
  <c r="AD302" i="3"/>
  <c r="AD550" i="3"/>
  <c r="AD532" i="3"/>
  <c r="AD516" i="3"/>
  <c r="AD500" i="3"/>
  <c r="AD653" i="3"/>
  <c r="AD649" i="3"/>
  <c r="AD645" i="3"/>
  <c r="AD641" i="3"/>
  <c r="AD637" i="3"/>
  <c r="AD633" i="3"/>
  <c r="AD629" i="3"/>
  <c r="AD625" i="3"/>
  <c r="AD621" i="3"/>
  <c r="AD613" i="3"/>
  <c r="AD609" i="3"/>
  <c r="AD605" i="3"/>
  <c r="AD601" i="3"/>
  <c r="AD597" i="3"/>
  <c r="AD593" i="3"/>
  <c r="AD589" i="3"/>
  <c r="AD585" i="3"/>
  <c r="AD581" i="3"/>
  <c r="AD577" i="3"/>
  <c r="AD573" i="3"/>
  <c r="AD614" i="3"/>
  <c r="AD556" i="3"/>
  <c r="AD567" i="3"/>
  <c r="AD551" i="3"/>
  <c r="AD562" i="3"/>
  <c r="AD561" i="3"/>
  <c r="AD539" i="3"/>
  <c r="AD531" i="3"/>
  <c r="AD523" i="3"/>
  <c r="AD515" i="3"/>
  <c r="AD507" i="3"/>
  <c r="AD499" i="3"/>
  <c r="AD491" i="3"/>
  <c r="AD483" i="3"/>
  <c r="AD475" i="3"/>
  <c r="AD469" i="3"/>
  <c r="AD465" i="3"/>
  <c r="AD461" i="3"/>
  <c r="AD457" i="3"/>
  <c r="AD453" i="3"/>
  <c r="AD449" i="3"/>
  <c r="AD445" i="3"/>
  <c r="AD441" i="3"/>
  <c r="AD437" i="3"/>
  <c r="AD433" i="3"/>
  <c r="AD429" i="3"/>
  <c r="AD425" i="3"/>
  <c r="AD421" i="3"/>
  <c r="AD417" i="3"/>
  <c r="AD413" i="3"/>
  <c r="AD409" i="3"/>
  <c r="AD405" i="3"/>
  <c r="AD401" i="3"/>
  <c r="AD397" i="3"/>
  <c r="AD393" i="3"/>
  <c r="AD389" i="3"/>
  <c r="AD385" i="3"/>
  <c r="AD381" i="3"/>
  <c r="AD377" i="3"/>
  <c r="AD373" i="3"/>
  <c r="AD369" i="3"/>
  <c r="AD365" i="3"/>
  <c r="AD361" i="3"/>
  <c r="AD357" i="3"/>
  <c r="AD353" i="3"/>
  <c r="AD349" i="3"/>
  <c r="AD345" i="3"/>
  <c r="AD341" i="3"/>
  <c r="AD337" i="3"/>
  <c r="AD333" i="3"/>
  <c r="AD329" i="3"/>
  <c r="AD325" i="3"/>
  <c r="AD321" i="3"/>
  <c r="AD317" i="3"/>
  <c r="AD313" i="3"/>
  <c r="AD309" i="3"/>
  <c r="AD305" i="3"/>
  <c r="AD301" i="3"/>
  <c r="AD557" i="3"/>
  <c r="AD528" i="3"/>
  <c r="AD512" i="3"/>
  <c r="AD496" i="3"/>
  <c r="AD480" i="3"/>
  <c r="AD299" i="3"/>
  <c r="AD295" i="3"/>
  <c r="AD644" i="3"/>
  <c r="AD628" i="3"/>
  <c r="AD608" i="3"/>
  <c r="AD592" i="3"/>
  <c r="AD576" i="3"/>
  <c r="AD563" i="3"/>
  <c r="AD537" i="3"/>
  <c r="AD505" i="3"/>
  <c r="AD473" i="3"/>
  <c r="AD456" i="3"/>
  <c r="AD440" i="3"/>
  <c r="AD424" i="3"/>
  <c r="AD408" i="3"/>
  <c r="AD392" i="3"/>
  <c r="AD376" i="3"/>
  <c r="AD360" i="3"/>
  <c r="AD344" i="3"/>
  <c r="AD328" i="3"/>
  <c r="AD312" i="3"/>
  <c r="AD540" i="3"/>
  <c r="AD484" i="3"/>
  <c r="AD296" i="3"/>
  <c r="AD290" i="3"/>
  <c r="AD286" i="3"/>
  <c r="AD282" i="3"/>
  <c r="AD278" i="3"/>
  <c r="AD274" i="3"/>
  <c r="AD270" i="3"/>
  <c r="AD266" i="3"/>
  <c r="AD262" i="3"/>
  <c r="AD258" i="3"/>
  <c r="AD254" i="3"/>
  <c r="AD250" i="3"/>
  <c r="AD246" i="3"/>
  <c r="AD242" i="3"/>
  <c r="AD238" i="3"/>
  <c r="AD234" i="3"/>
  <c r="AD230" i="3"/>
  <c r="AD226" i="3"/>
  <c r="AD222" i="3"/>
  <c r="AD218" i="3"/>
  <c r="AD214" i="3"/>
  <c r="AD210" i="3"/>
  <c r="AD206" i="3"/>
  <c r="AD202" i="3"/>
  <c r="AD198" i="3"/>
  <c r="AD194" i="3"/>
  <c r="AD190" i="3"/>
  <c r="AD558" i="3"/>
  <c r="AD183" i="3"/>
  <c r="AD179" i="3"/>
  <c r="AD175" i="3"/>
  <c r="AD171" i="3"/>
  <c r="AD167" i="3"/>
  <c r="AD163" i="3"/>
  <c r="AD542" i="3"/>
  <c r="AD618" i="3"/>
  <c r="AD522" i="3"/>
  <c r="AD490" i="3"/>
  <c r="AD549" i="3"/>
  <c r="AD494" i="3"/>
  <c r="AD640" i="3"/>
  <c r="AD624" i="3"/>
  <c r="AD604" i="3"/>
  <c r="AD588" i="3"/>
  <c r="AD572" i="3"/>
  <c r="AD547" i="3"/>
  <c r="AD529" i="3"/>
  <c r="AD497" i="3"/>
  <c r="AD468" i="3"/>
  <c r="AD452" i="3"/>
  <c r="AD436" i="3"/>
  <c r="AD420" i="3"/>
  <c r="AD404" i="3"/>
  <c r="AD388" i="3"/>
  <c r="AD372" i="3"/>
  <c r="AD356" i="3"/>
  <c r="AD340" i="3"/>
  <c r="AD324" i="3"/>
  <c r="AD308" i="3"/>
  <c r="AD524" i="3"/>
  <c r="AD476" i="3"/>
  <c r="AD294" i="3"/>
  <c r="AD289" i="3"/>
  <c r="AD285" i="3"/>
  <c r="AD281" i="3"/>
  <c r="AD277" i="3"/>
  <c r="AD273" i="3"/>
  <c r="AD269" i="3"/>
  <c r="AD265" i="3"/>
  <c r="AD261" i="3"/>
  <c r="AD257" i="3"/>
  <c r="AD253" i="3"/>
  <c r="AD249" i="3"/>
  <c r="AD245" i="3"/>
  <c r="AD241" i="3"/>
  <c r="AD237" i="3"/>
  <c r="AD233" i="3"/>
  <c r="AD229" i="3"/>
  <c r="AD225" i="3"/>
  <c r="AD221" i="3"/>
  <c r="AD217" i="3"/>
  <c r="AD213" i="3"/>
  <c r="AD209" i="3"/>
  <c r="AD205" i="3"/>
  <c r="AD201" i="3"/>
  <c r="AD197" i="3"/>
  <c r="AD193" i="3"/>
  <c r="AD189" i="3"/>
  <c r="AD186" i="3"/>
  <c r="AD182" i="3"/>
  <c r="AD178" i="3"/>
  <c r="AD174" i="3"/>
  <c r="AD170" i="3"/>
  <c r="AD166" i="3"/>
  <c r="AD162" i="3"/>
  <c r="AD518" i="3"/>
  <c r="AD565" i="3"/>
  <c r="AD514" i="3"/>
  <c r="AD482" i="3"/>
  <c r="AD534" i="3"/>
  <c r="AD478" i="3"/>
  <c r="AD652" i="3"/>
  <c r="AD636" i="3"/>
  <c r="AD620" i="3"/>
  <c r="AD600" i="3"/>
  <c r="AD584" i="3"/>
  <c r="AD568" i="3"/>
  <c r="AD554" i="3"/>
  <c r="AD521" i="3"/>
  <c r="AD489" i="3"/>
  <c r="AD464" i="3"/>
  <c r="AD448" i="3"/>
  <c r="AD432" i="3"/>
  <c r="AD416" i="3"/>
  <c r="AD400" i="3"/>
  <c r="AD384" i="3"/>
  <c r="AD368" i="3"/>
  <c r="AD352" i="3"/>
  <c r="AD336" i="3"/>
  <c r="AD320" i="3"/>
  <c r="AD304" i="3"/>
  <c r="AD508" i="3"/>
  <c r="AD300" i="3"/>
  <c r="AD292" i="3"/>
  <c r="AD288" i="3"/>
  <c r="AD284" i="3"/>
  <c r="AD280" i="3"/>
  <c r="AD276" i="3"/>
  <c r="AD272" i="3"/>
  <c r="AD268" i="3"/>
  <c r="AD264" i="3"/>
  <c r="AD260" i="3"/>
  <c r="AD256" i="3"/>
  <c r="AD252" i="3"/>
  <c r="AD248" i="3"/>
  <c r="AD244" i="3"/>
  <c r="AD240" i="3"/>
  <c r="AD236" i="3"/>
  <c r="AD232" i="3"/>
  <c r="AD228" i="3"/>
  <c r="AD224" i="3"/>
  <c r="AD220" i="3"/>
  <c r="AD216" i="3"/>
  <c r="AD212" i="3"/>
  <c r="AD208" i="3"/>
  <c r="AD204" i="3"/>
  <c r="AD200" i="3"/>
  <c r="AD196" i="3"/>
  <c r="AD192" i="3"/>
  <c r="AD188" i="3"/>
  <c r="AD185" i="3"/>
  <c r="AD181" i="3"/>
  <c r="AD177" i="3"/>
  <c r="AD173" i="3"/>
  <c r="AD169" i="3"/>
  <c r="AD165" i="3"/>
  <c r="AD161" i="3"/>
  <c r="AD502" i="3"/>
  <c r="AD538" i="3"/>
  <c r="AD506" i="3"/>
  <c r="AD474" i="3"/>
  <c r="AD526" i="3"/>
  <c r="AJ640" i="3"/>
  <c r="AJ643" i="3"/>
  <c r="AJ638" i="3"/>
  <c r="AJ633" i="3"/>
  <c r="AJ625" i="3"/>
  <c r="AJ619" i="3"/>
  <c r="AJ632" i="3"/>
  <c r="AJ650" i="3"/>
  <c r="AJ634" i="3"/>
  <c r="AJ610" i="3"/>
  <c r="AJ594" i="3"/>
  <c r="AJ578" i="3"/>
  <c r="AJ560" i="3"/>
  <c r="AJ544" i="3"/>
  <c r="AJ601" i="3"/>
  <c r="AJ585" i="3"/>
  <c r="AJ567" i="3"/>
  <c r="AJ551" i="3"/>
  <c r="AJ540" i="3"/>
  <c r="AJ536" i="3"/>
  <c r="AJ532" i="3"/>
  <c r="AJ528" i="3"/>
  <c r="AJ524" i="3"/>
  <c r="AJ520" i="3"/>
  <c r="AJ516" i="3"/>
  <c r="AJ512" i="3"/>
  <c r="AJ508" i="3"/>
  <c r="AJ504" i="3"/>
  <c r="AJ500" i="3"/>
  <c r="AJ496" i="3"/>
  <c r="AJ492" i="3"/>
  <c r="AJ488" i="3"/>
  <c r="AJ484" i="3"/>
  <c r="AJ480" i="3"/>
  <c r="AJ476" i="3"/>
  <c r="AJ472" i="3"/>
  <c r="AJ599" i="3"/>
  <c r="AJ566" i="3"/>
  <c r="AJ604" i="3"/>
  <c r="AJ572" i="3"/>
  <c r="AJ607" i="3"/>
  <c r="AJ546" i="3"/>
  <c r="AJ553" i="3"/>
  <c r="AJ463" i="3"/>
  <c r="AJ455" i="3"/>
  <c r="AJ447" i="3"/>
  <c r="AJ439" i="3"/>
  <c r="AJ431" i="3"/>
  <c r="AJ423" i="3"/>
  <c r="AJ415" i="3"/>
  <c r="AJ407" i="3"/>
  <c r="AJ399" i="3"/>
  <c r="AJ391" i="3"/>
  <c r="AJ383" i="3"/>
  <c r="AJ652" i="3"/>
  <c r="AJ636" i="3"/>
  <c r="AJ639" i="3"/>
  <c r="AJ653" i="3"/>
  <c r="AJ631" i="3"/>
  <c r="AJ642" i="3"/>
  <c r="AJ616" i="3"/>
  <c r="AJ628" i="3"/>
  <c r="AJ622" i="3"/>
  <c r="AJ630" i="3"/>
  <c r="AJ603" i="3"/>
  <c r="AJ587" i="3"/>
  <c r="AJ571" i="3"/>
  <c r="AJ556" i="3"/>
  <c r="AJ626" i="3"/>
  <c r="AJ600" i="3"/>
  <c r="AJ584" i="3"/>
  <c r="AJ563" i="3"/>
  <c r="AJ547" i="3"/>
  <c r="AJ539" i="3"/>
  <c r="AJ535" i="3"/>
  <c r="AJ531" i="3"/>
  <c r="AJ527" i="3"/>
  <c r="AJ523" i="3"/>
  <c r="AJ648" i="3"/>
  <c r="AJ651" i="3"/>
  <c r="AJ635" i="3"/>
  <c r="AJ645" i="3"/>
  <c r="AJ629" i="3"/>
  <c r="AJ623" i="3"/>
  <c r="AJ612" i="3"/>
  <c r="AJ615" i="3"/>
  <c r="AJ618" i="3"/>
  <c r="AJ620" i="3"/>
  <c r="AJ602" i="3"/>
  <c r="AJ586" i="3"/>
  <c r="AJ568" i="3"/>
  <c r="AJ552" i="3"/>
  <c r="AJ609" i="3"/>
  <c r="AJ593" i="3"/>
  <c r="AJ577" i="3"/>
  <c r="AJ559" i="3"/>
  <c r="AJ543" i="3"/>
  <c r="AJ538" i="3"/>
  <c r="AJ534" i="3"/>
  <c r="AJ530" i="3"/>
  <c r="AJ526" i="3"/>
  <c r="AJ522" i="3"/>
  <c r="AJ518" i="3"/>
  <c r="AJ514" i="3"/>
  <c r="AJ510" i="3"/>
  <c r="AJ506" i="3"/>
  <c r="AJ502" i="3"/>
  <c r="AJ498" i="3"/>
  <c r="AJ494" i="3"/>
  <c r="AJ490" i="3"/>
  <c r="AJ486" i="3"/>
  <c r="AJ482" i="3"/>
  <c r="AJ478" i="3"/>
  <c r="AJ474" i="3"/>
  <c r="AJ614" i="3"/>
  <c r="AJ583" i="3"/>
  <c r="AJ550" i="3"/>
  <c r="AJ588" i="3"/>
  <c r="AJ557" i="3"/>
  <c r="AJ575" i="3"/>
  <c r="AJ589" i="3"/>
  <c r="AJ467" i="3"/>
  <c r="AJ459" i="3"/>
  <c r="AJ451" i="3"/>
  <c r="AJ443" i="3"/>
  <c r="AJ435" i="3"/>
  <c r="AJ427" i="3"/>
  <c r="AJ419" i="3"/>
  <c r="AJ411" i="3"/>
  <c r="AJ403" i="3"/>
  <c r="AJ395" i="3"/>
  <c r="AJ387" i="3"/>
  <c r="AJ564" i="3"/>
  <c r="AJ570" i="3"/>
  <c r="AJ627" i="3"/>
  <c r="AJ644" i="3"/>
  <c r="AD510" i="3"/>
  <c r="AD486" i="3"/>
  <c r="AD172" i="3"/>
  <c r="AD187" i="3"/>
  <c r="AD203" i="3"/>
  <c r="AD219" i="3"/>
  <c r="AD235" i="3"/>
  <c r="AD251" i="3"/>
  <c r="AD267" i="3"/>
  <c r="AD283" i="3"/>
  <c r="AD492" i="3"/>
  <c r="AD348" i="3"/>
  <c r="AD412" i="3"/>
  <c r="AD481" i="3"/>
  <c r="AD580" i="3"/>
  <c r="AD648" i="3"/>
  <c r="AJ199" i="3"/>
  <c r="AJ215" i="3"/>
  <c r="AJ231" i="3"/>
  <c r="AJ247" i="3"/>
  <c r="AJ263" i="3"/>
  <c r="AJ279" i="3"/>
  <c r="AJ295" i="3"/>
  <c r="AJ322" i="3"/>
  <c r="AJ354" i="3"/>
  <c r="AJ386" i="3"/>
  <c r="AJ418" i="3"/>
  <c r="AJ450" i="3"/>
  <c r="AJ624" i="3"/>
  <c r="AJ167" i="3"/>
  <c r="AJ175" i="3"/>
  <c r="AJ183" i="3"/>
  <c r="AJ190" i="3"/>
  <c r="AJ198" i="3"/>
  <c r="AJ206" i="3"/>
  <c r="AJ214" i="3"/>
  <c r="AJ222" i="3"/>
  <c r="AJ230" i="3"/>
  <c r="AJ238" i="3"/>
  <c r="AJ246" i="3"/>
  <c r="AJ254" i="3"/>
  <c r="AJ262" i="3"/>
  <c r="AJ270" i="3"/>
  <c r="AJ278" i="3"/>
  <c r="AJ286" i="3"/>
  <c r="AJ294" i="3"/>
  <c r="AJ304" i="3"/>
  <c r="AJ320" i="3"/>
  <c r="AJ336" i="3"/>
  <c r="AJ352" i="3"/>
  <c r="AJ368" i="3"/>
  <c r="AJ384" i="3"/>
  <c r="AJ400" i="3"/>
  <c r="AJ416" i="3"/>
  <c r="AJ432" i="3"/>
  <c r="AJ448" i="3"/>
  <c r="AJ464" i="3"/>
  <c r="AJ580" i="3"/>
  <c r="AJ197" i="3"/>
  <c r="AJ213" i="3"/>
  <c r="AJ229" i="3"/>
  <c r="AJ245" i="3"/>
  <c r="AJ261" i="3"/>
  <c r="AJ277" i="3"/>
  <c r="AJ293" i="3"/>
  <c r="AJ318" i="3"/>
  <c r="AJ350" i="3"/>
  <c r="AJ382" i="3"/>
  <c r="AJ414" i="3"/>
  <c r="AJ446" i="3"/>
  <c r="AJ605" i="3"/>
  <c r="AJ166" i="3"/>
  <c r="AJ174" i="3"/>
  <c r="AJ182" i="3"/>
  <c r="AJ613" i="3"/>
  <c r="AJ303" i="3"/>
  <c r="AJ311" i="3"/>
  <c r="AJ319" i="3"/>
  <c r="AJ327" i="3"/>
  <c r="AJ335" i="3"/>
  <c r="AJ343" i="3"/>
  <c r="AJ351" i="3"/>
  <c r="AJ359" i="3"/>
  <c r="AJ367" i="3"/>
  <c r="AJ375" i="3"/>
  <c r="AJ385" i="3"/>
  <c r="AJ401" i="3"/>
  <c r="AJ417" i="3"/>
  <c r="AJ433" i="3"/>
  <c r="AJ449" i="3"/>
  <c r="AJ465" i="3"/>
  <c r="AJ562" i="3"/>
  <c r="AJ581" i="3"/>
  <c r="AJ574" i="3"/>
  <c r="AJ473" i="3"/>
  <c r="AJ481" i="3"/>
  <c r="AJ489" i="3"/>
  <c r="AJ497" i="3"/>
  <c r="AJ505" i="3"/>
  <c r="AJ513" i="3"/>
  <c r="AJ521" i="3"/>
  <c r="AJ537" i="3"/>
  <c r="AJ592" i="3"/>
  <c r="AJ579" i="3"/>
  <c r="AJ611" i="3"/>
  <c r="AJ637" i="3"/>
  <c r="AD159" i="3"/>
  <c r="AD160" i="3"/>
  <c r="AD176" i="3"/>
  <c r="AD191" i="3"/>
  <c r="AD207" i="3"/>
  <c r="AD223" i="3"/>
  <c r="AD239" i="3"/>
  <c r="AD255" i="3"/>
  <c r="AD271" i="3"/>
  <c r="AD287" i="3"/>
  <c r="AD611" i="3"/>
  <c r="AD364" i="3"/>
  <c r="AD428" i="3"/>
  <c r="AD513" i="3"/>
  <c r="AD596" i="3"/>
  <c r="AD498" i="3"/>
  <c r="AD164" i="3"/>
  <c r="AD180" i="3"/>
  <c r="AD195" i="3"/>
  <c r="AD211" i="3"/>
  <c r="AD227" i="3"/>
  <c r="AD243" i="3"/>
  <c r="AD259" i="3"/>
  <c r="AD275" i="3"/>
  <c r="AD291" i="3"/>
  <c r="AD316" i="3"/>
  <c r="AD380" i="3"/>
  <c r="AD444" i="3"/>
  <c r="AD553" i="3"/>
  <c r="AD616" i="3"/>
  <c r="AC160" i="3"/>
  <c r="AC348" i="3"/>
  <c r="AC282" i="3"/>
  <c r="AC321" i="3"/>
  <c r="AC581" i="3"/>
  <c r="AC618" i="3"/>
  <c r="AG240" i="3"/>
  <c r="AG309" i="3"/>
  <c r="AG437" i="3"/>
  <c r="AG171" i="3"/>
  <c r="AG200" i="3"/>
  <c r="AG280" i="3"/>
  <c r="AG425" i="3"/>
  <c r="AG217" i="3"/>
  <c r="AG261" i="3"/>
  <c r="AG307" i="3"/>
  <c r="AG391" i="3"/>
  <c r="AG338" i="3"/>
  <c r="AG424" i="3"/>
  <c r="AG553" i="3"/>
  <c r="AG517" i="3"/>
  <c r="AG627" i="3"/>
  <c r="AA266" i="3"/>
  <c r="AA611" i="3"/>
  <c r="AC255" i="3"/>
  <c r="AC197" i="3"/>
  <c r="AC218" i="3"/>
  <c r="AC390" i="3"/>
  <c r="AC407" i="3"/>
  <c r="AC523" i="3"/>
  <c r="AG204" i="3"/>
  <c r="AG274" i="3"/>
  <c r="AG373" i="3"/>
  <c r="AG161" i="3"/>
  <c r="AG182" i="3"/>
  <c r="AG238" i="3"/>
  <c r="AG337" i="3"/>
  <c r="AG197" i="3"/>
  <c r="AG239" i="3"/>
  <c r="AG281" i="3"/>
  <c r="AG351" i="3"/>
  <c r="AG467" i="3"/>
  <c r="AG382" i="3"/>
  <c r="AG466" i="3"/>
  <c r="AG485" i="3"/>
  <c r="AG570" i="3"/>
  <c r="AG642" i="3"/>
  <c r="AA175" i="3"/>
  <c r="AA417" i="3"/>
  <c r="AC223" i="3"/>
  <c r="AC408" i="3"/>
  <c r="AC184" i="3"/>
  <c r="AC291" i="3"/>
  <c r="AC202" i="3"/>
  <c r="AC266" i="3"/>
  <c r="AC358" i="3"/>
  <c r="AC301" i="3"/>
  <c r="AC385" i="3"/>
  <c r="AC585" i="3"/>
  <c r="AC510" i="3"/>
  <c r="AC596" i="3"/>
  <c r="AG192" i="3"/>
  <c r="AG232" i="3"/>
  <c r="AG266" i="3"/>
  <c r="AG298" i="3"/>
  <c r="AG357" i="3"/>
  <c r="AG421" i="3"/>
  <c r="AG584" i="3"/>
  <c r="AG168" i="3"/>
  <c r="AG179" i="3"/>
  <c r="AG194" i="3"/>
  <c r="AG226" i="3"/>
  <c r="AG268" i="3"/>
  <c r="AG321" i="3"/>
  <c r="AG401" i="3"/>
  <c r="AG191" i="3"/>
  <c r="AG213" i="3"/>
  <c r="AG233" i="3"/>
  <c r="AG255" i="3"/>
  <c r="AG277" i="3"/>
  <c r="AG297" i="3"/>
  <c r="AG339" i="3"/>
  <c r="AG383" i="3"/>
  <c r="AG447" i="3"/>
  <c r="AG328" i="3"/>
  <c r="AG370" i="3"/>
  <c r="AG414" i="3"/>
  <c r="AG456" i="3"/>
  <c r="AG568" i="3"/>
  <c r="AG477" i="3"/>
  <c r="AG509" i="3"/>
  <c r="AG541" i="3"/>
  <c r="AG605" i="3"/>
  <c r="AG640" i="3"/>
  <c r="AA159" i="3"/>
  <c r="AA219" i="3"/>
  <c r="AA287" i="3"/>
  <c r="AA353" i="3"/>
  <c r="AA439" i="3"/>
  <c r="AA554" i="3"/>
  <c r="AA171" i="3"/>
  <c r="AA649" i="3"/>
  <c r="AA234" i="3"/>
  <c r="AA503" i="3"/>
  <c r="AA375" i="3"/>
  <c r="AA460" i="3"/>
  <c r="AA621" i="3"/>
  <c r="AC289" i="3"/>
  <c r="AC168" i="3"/>
  <c r="AC229" i="3"/>
  <c r="AC412" i="3"/>
  <c r="AC234" i="3"/>
  <c r="AC298" i="3"/>
  <c r="AC422" i="3"/>
  <c r="AC343" i="3"/>
  <c r="AC433" i="3"/>
  <c r="AC480" i="3"/>
  <c r="AC538" i="3"/>
  <c r="AG214" i="3"/>
  <c r="AG248" i="3"/>
  <c r="AG282" i="3"/>
  <c r="AG325" i="3"/>
  <c r="AG389" i="3"/>
  <c r="AG453" i="3"/>
  <c r="AG163" i="3"/>
  <c r="AG174" i="3"/>
  <c r="AG184" i="3"/>
  <c r="AG210" i="3"/>
  <c r="AG250" i="3"/>
  <c r="AG288" i="3"/>
  <c r="AG361" i="3"/>
  <c r="AG449" i="3"/>
  <c r="AG201" i="3"/>
  <c r="AG223" i="3"/>
  <c r="AG245" i="3"/>
  <c r="AG265" i="3"/>
  <c r="AG287" i="3"/>
  <c r="AG319" i="3"/>
  <c r="AG359" i="3"/>
  <c r="AG403" i="3"/>
  <c r="AG306" i="3"/>
  <c r="AG350" i="3"/>
  <c r="AG392" i="3"/>
  <c r="AG434" i="3"/>
  <c r="AG543" i="3"/>
  <c r="AG571" i="3"/>
  <c r="AG493" i="3"/>
  <c r="AG525" i="3"/>
  <c r="AG573" i="3"/>
  <c r="AA489" i="3"/>
  <c r="AA197" i="3"/>
  <c r="AA248" i="3"/>
  <c r="AA311" i="3"/>
  <c r="AA396" i="3"/>
  <c r="AA490" i="3"/>
  <c r="AF172" i="3"/>
  <c r="AF180" i="3"/>
  <c r="AF549" i="3"/>
  <c r="AF191" i="3"/>
  <c r="AF199" i="3"/>
  <c r="AF207" i="3"/>
  <c r="AF215" i="3"/>
  <c r="AF223" i="3"/>
  <c r="AF231" i="3"/>
  <c r="AF239" i="3"/>
  <c r="AF247" i="3"/>
  <c r="AF255" i="3"/>
  <c r="AF263" i="3"/>
  <c r="AF271" i="3"/>
  <c r="AF279" i="3"/>
  <c r="AF287" i="3"/>
  <c r="AF295" i="3"/>
  <c r="AF307" i="3"/>
  <c r="AF323" i="3"/>
  <c r="AF339" i="3"/>
  <c r="AF355" i="3"/>
  <c r="AF371" i="3"/>
  <c r="AF387" i="3"/>
  <c r="AF403" i="3"/>
  <c r="AF419" i="3"/>
  <c r="AF435" i="3"/>
  <c r="AF451" i="3"/>
  <c r="AF467" i="3"/>
  <c r="AF200" i="3"/>
  <c r="AF216" i="3"/>
  <c r="AF232" i="3"/>
  <c r="AF252" i="3"/>
  <c r="AF284" i="3"/>
  <c r="AF329" i="3"/>
  <c r="AF393" i="3"/>
  <c r="AF457" i="3"/>
  <c r="AF171" i="3"/>
  <c r="AF577" i="3"/>
  <c r="AF310" i="3"/>
  <c r="AF326" i="3"/>
  <c r="AF342" i="3"/>
  <c r="AF358" i="3"/>
  <c r="AF374" i="3"/>
  <c r="AF390" i="3"/>
  <c r="AF406" i="3"/>
  <c r="AF422" i="3"/>
  <c r="AF438" i="3"/>
  <c r="AF454" i="3"/>
  <c r="AF470" i="3"/>
  <c r="AF593" i="3"/>
  <c r="AF599" i="3"/>
  <c r="AF578" i="3"/>
  <c r="AF636" i="3"/>
  <c r="AF477" i="3"/>
  <c r="AF485" i="3"/>
  <c r="AF493" i="3"/>
  <c r="AF501" i="3"/>
  <c r="AF509" i="3"/>
  <c r="AF517" i="3"/>
  <c r="AF525" i="3"/>
  <c r="AF538" i="3"/>
  <c r="AF588" i="3"/>
  <c r="AF573" i="3"/>
  <c r="AF644" i="3"/>
  <c r="AF649" i="3"/>
  <c r="AF176" i="3"/>
  <c r="AF185" i="3"/>
  <c r="AF187" i="3"/>
  <c r="AF195" i="3"/>
  <c r="AF203" i="3"/>
  <c r="AF211" i="3"/>
  <c r="AF219" i="3"/>
  <c r="AF227" i="3"/>
  <c r="AF235" i="3"/>
  <c r="AF243" i="3"/>
  <c r="AF251" i="3"/>
  <c r="AF259" i="3"/>
  <c r="AF267" i="3"/>
  <c r="AF275" i="3"/>
  <c r="AF283" i="3"/>
  <c r="AF291" i="3"/>
  <c r="AF299" i="3"/>
  <c r="AF315" i="3"/>
  <c r="AF331" i="3"/>
  <c r="AF347" i="3"/>
  <c r="AF363" i="3"/>
  <c r="AF379" i="3"/>
  <c r="AF395" i="3"/>
  <c r="AF411" i="3"/>
  <c r="AF427" i="3"/>
  <c r="AF443" i="3"/>
  <c r="AF459" i="3"/>
  <c r="AF192" i="3"/>
  <c r="AF208" i="3"/>
  <c r="AF224" i="3"/>
  <c r="AF238" i="3"/>
  <c r="AF266" i="3"/>
  <c r="AF300" i="3"/>
  <c r="AF361" i="3"/>
  <c r="AF425" i="3"/>
  <c r="AF163" i="3"/>
  <c r="AF179" i="3"/>
  <c r="AF302" i="3"/>
  <c r="AF318" i="3"/>
  <c r="AF334" i="3"/>
  <c r="AF350" i="3"/>
  <c r="AF366" i="3"/>
  <c r="AF382" i="3"/>
  <c r="AF398" i="3"/>
  <c r="AF414" i="3"/>
  <c r="AF430" i="3"/>
  <c r="AF446" i="3"/>
  <c r="AF462" i="3"/>
  <c r="AF600" i="3"/>
  <c r="AF568" i="3"/>
  <c r="AF553" i="3"/>
  <c r="AF610" i="3"/>
  <c r="AF473" i="3"/>
  <c r="AF481" i="3"/>
  <c r="AF489" i="3"/>
  <c r="AF497" i="3"/>
  <c r="AF505" i="3"/>
  <c r="AF513" i="3"/>
  <c r="AF521" i="3"/>
  <c r="AF530" i="3"/>
  <c r="AF558" i="3"/>
  <c r="AF652" i="3"/>
  <c r="AF605" i="3"/>
  <c r="AF626" i="3"/>
  <c r="AF647" i="3"/>
  <c r="AC627" i="3"/>
  <c r="AC578" i="3"/>
  <c r="AC531" i="3"/>
  <c r="AC502" i="3"/>
  <c r="AC474" i="3"/>
  <c r="AC579" i="3"/>
  <c r="AC417" i="3"/>
  <c r="AC375" i="3"/>
  <c r="AC333" i="3"/>
  <c r="AC470" i="3"/>
  <c r="AC406" i="3"/>
  <c r="AC342" i="3"/>
  <c r="AC290" i="3"/>
  <c r="AC258" i="3"/>
  <c r="AC226" i="3"/>
  <c r="AC194" i="3"/>
  <c r="AC380" i="3"/>
  <c r="AC275" i="3"/>
  <c r="AC211" i="3"/>
  <c r="AC180" i="3"/>
  <c r="AC164" i="3"/>
  <c r="AC376" i="3"/>
  <c r="AC273" i="3"/>
  <c r="AC207" i="3"/>
  <c r="AC630" i="3"/>
  <c r="AC549" i="3"/>
  <c r="AC516" i="3"/>
  <c r="AC488" i="3"/>
  <c r="AC544" i="3"/>
  <c r="AC447" i="3"/>
  <c r="AC397" i="3"/>
  <c r="AC353" i="3"/>
  <c r="AC311" i="3"/>
  <c r="AC438" i="3"/>
  <c r="AC374" i="3"/>
  <c r="AC310" i="3"/>
  <c r="AC274" i="3"/>
  <c r="AC242" i="3"/>
  <c r="AC210" i="3"/>
  <c r="AC444" i="3"/>
  <c r="AC316" i="3"/>
  <c r="AC245" i="3"/>
  <c r="AC609" i="3"/>
  <c r="AC172" i="3"/>
  <c r="AC440" i="3"/>
  <c r="AC312" i="3"/>
  <c r="AC239" i="3"/>
  <c r="AL290" i="3"/>
  <c r="AL163" i="3"/>
  <c r="AL499" i="3"/>
  <c r="AL258" i="3"/>
  <c r="AL194" i="3"/>
  <c r="AL380" i="3"/>
  <c r="AL316" i="3"/>
  <c r="AA639" i="3"/>
  <c r="AA632" i="3"/>
  <c r="AA628" i="3"/>
  <c r="AA646" i="3"/>
  <c r="AA645" i="3"/>
  <c r="AA651" i="3"/>
  <c r="AA635" i="3"/>
  <c r="AA631" i="3"/>
  <c r="AA627" i="3"/>
  <c r="AA642" i="3"/>
  <c r="AA637" i="3"/>
  <c r="AA641" i="3"/>
  <c r="AA609" i="3"/>
  <c r="AA605" i="3"/>
  <c r="AA601" i="3"/>
  <c r="AA597" i="3"/>
  <c r="AA593" i="3"/>
  <c r="AA589" i="3"/>
  <c r="AA585" i="3"/>
  <c r="AA581" i="3"/>
  <c r="AA577" i="3"/>
  <c r="AA573" i="3"/>
  <c r="AA623" i="3"/>
  <c r="AA614" i="3"/>
  <c r="AA568" i="3"/>
  <c r="AA564" i="3"/>
  <c r="AA560" i="3"/>
  <c r="AA556" i="3"/>
  <c r="AA552" i="3"/>
  <c r="AA548" i="3"/>
  <c r="AA544" i="3"/>
  <c r="AA624" i="3"/>
  <c r="AA540" i="3"/>
  <c r="AA532" i="3"/>
  <c r="AA524" i="3"/>
  <c r="AA516" i="3"/>
  <c r="AA508" i="3"/>
  <c r="AA500" i="3"/>
  <c r="AA492" i="3"/>
  <c r="AA484" i="3"/>
  <c r="AA476" i="3"/>
  <c r="AA470" i="3"/>
  <c r="AA466" i="3"/>
  <c r="AA462" i="3"/>
  <c r="AA458" i="3"/>
  <c r="AA454" i="3"/>
  <c r="AA450" i="3"/>
  <c r="AA446" i="3"/>
  <c r="AA442" i="3"/>
  <c r="AA438" i="3"/>
  <c r="AA434" i="3"/>
  <c r="AA430" i="3"/>
  <c r="AA426" i="3"/>
  <c r="AA422" i="3"/>
  <c r="AA418" i="3"/>
  <c r="AA414" i="3"/>
  <c r="AA410" i="3"/>
  <c r="AA406" i="3"/>
  <c r="AA402" i="3"/>
  <c r="AA398" i="3"/>
  <c r="AA394" i="3"/>
  <c r="AA390" i="3"/>
  <c r="AA386" i="3"/>
  <c r="AA382" i="3"/>
  <c r="AA378" i="3"/>
  <c r="AA374" i="3"/>
  <c r="AA370" i="3"/>
  <c r="AA366" i="3"/>
  <c r="AA362" i="3"/>
  <c r="AA358" i="3"/>
  <c r="AA354" i="3"/>
  <c r="AA350" i="3"/>
  <c r="AA346" i="3"/>
  <c r="AA342" i="3"/>
  <c r="AA338" i="3"/>
  <c r="AA334" i="3"/>
  <c r="AA330" i="3"/>
  <c r="AA326" i="3"/>
  <c r="AA322" i="3"/>
  <c r="AA318" i="3"/>
  <c r="AA314" i="3"/>
  <c r="AA310" i="3"/>
  <c r="AA306" i="3"/>
  <c r="AA302" i="3"/>
  <c r="AA539" i="3"/>
  <c r="AA523" i="3"/>
  <c r="AA507" i="3"/>
  <c r="AA491" i="3"/>
  <c r="AA475" i="3"/>
  <c r="AA297" i="3"/>
  <c r="AA293" i="3"/>
  <c r="AA289" i="3"/>
  <c r="AA285" i="3"/>
  <c r="AA281" i="3"/>
  <c r="AA277" i="3"/>
  <c r="AA273" i="3"/>
  <c r="AA269" i="3"/>
  <c r="AA265" i="3"/>
  <c r="AA261" i="3"/>
  <c r="AA257" i="3"/>
  <c r="AA253" i="3"/>
  <c r="AA249" i="3"/>
  <c r="AA245" i="3"/>
  <c r="AA241" i="3"/>
  <c r="AA237" i="3"/>
  <c r="AA233" i="3"/>
  <c r="AA229" i="3"/>
  <c r="AA225" i="3"/>
  <c r="AA221" i="3"/>
  <c r="AA217" i="3"/>
  <c r="AA633" i="3"/>
  <c r="AA650" i="3"/>
  <c r="AA644" i="3"/>
  <c r="AA610" i="3"/>
  <c r="AA604" i="3"/>
  <c r="AA599" i="3"/>
  <c r="AA594" i="3"/>
  <c r="AA588" i="3"/>
  <c r="AA583" i="3"/>
  <c r="AA578" i="3"/>
  <c r="AA572" i="3"/>
  <c r="AA619" i="3"/>
  <c r="AA569" i="3"/>
  <c r="AA563" i="3"/>
  <c r="AA558" i="3"/>
  <c r="AA553" i="3"/>
  <c r="AA547" i="3"/>
  <c r="AA613" i="3"/>
  <c r="AA542" i="3"/>
  <c r="AA530" i="3"/>
  <c r="AA520" i="3"/>
  <c r="AA510" i="3"/>
  <c r="AA498" i="3"/>
  <c r="AA488" i="3"/>
  <c r="AA478" i="3"/>
  <c r="AA469" i="3"/>
  <c r="AA464" i="3"/>
  <c r="AA459" i="3"/>
  <c r="AA453" i="3"/>
  <c r="AA448" i="3"/>
  <c r="AA443" i="3"/>
  <c r="AA437" i="3"/>
  <c r="AA432" i="3"/>
  <c r="AA427" i="3"/>
  <c r="AA421" i="3"/>
  <c r="AA416" i="3"/>
  <c r="AA411" i="3"/>
  <c r="AA405" i="3"/>
  <c r="AA400" i="3"/>
  <c r="AA395" i="3"/>
  <c r="AA389" i="3"/>
  <c r="AA384" i="3"/>
  <c r="AA379" i="3"/>
  <c r="AA373" i="3"/>
  <c r="AA368" i="3"/>
  <c r="AA363" i="3"/>
  <c r="AA357" i="3"/>
  <c r="AA352" i="3"/>
  <c r="AA347" i="3"/>
  <c r="AA341" i="3"/>
  <c r="AA336" i="3"/>
  <c r="AA331" i="3"/>
  <c r="AA325" i="3"/>
  <c r="AA320" i="3"/>
  <c r="AA315" i="3"/>
  <c r="AA309" i="3"/>
  <c r="AA304" i="3"/>
  <c r="AA616" i="3"/>
  <c r="AA519" i="3"/>
  <c r="AA499" i="3"/>
  <c r="AA479" i="3"/>
  <c r="AA296" i="3"/>
  <c r="AA291" i="3"/>
  <c r="AA286" i="3"/>
  <c r="AA280" i="3"/>
  <c r="AA275" i="3"/>
  <c r="AA270" i="3"/>
  <c r="AA264" i="3"/>
  <c r="AA259" i="3"/>
  <c r="AA647" i="3"/>
  <c r="AA630" i="3"/>
  <c r="AA638" i="3"/>
  <c r="AA636" i="3"/>
  <c r="AA608" i="3"/>
  <c r="AA603" i="3"/>
  <c r="AA598" i="3"/>
  <c r="AA592" i="3"/>
  <c r="AA587" i="3"/>
  <c r="AA582" i="3"/>
  <c r="AA576" i="3"/>
  <c r="AA648" i="3"/>
  <c r="AA618" i="3"/>
  <c r="AA567" i="3"/>
  <c r="AA562" i="3"/>
  <c r="AA557" i="3"/>
  <c r="AA551" i="3"/>
  <c r="AA546" i="3"/>
  <c r="AA612" i="3"/>
  <c r="AA538" i="3"/>
  <c r="AA528" i="3"/>
  <c r="AA518" i="3"/>
  <c r="AA506" i="3"/>
  <c r="AA496" i="3"/>
  <c r="AA486" i="3"/>
  <c r="AA474" i="3"/>
  <c r="AA468" i="3"/>
  <c r="AA463" i="3"/>
  <c r="AA457" i="3"/>
  <c r="AA452" i="3"/>
  <c r="AA447" i="3"/>
  <c r="AA441" i="3"/>
  <c r="AA436" i="3"/>
  <c r="AA431" i="3"/>
  <c r="AA425" i="3"/>
  <c r="AA420" i="3"/>
  <c r="AA415" i="3"/>
  <c r="AA409" i="3"/>
  <c r="AA404" i="3"/>
  <c r="AA399" i="3"/>
  <c r="AA393" i="3"/>
  <c r="AA388" i="3"/>
  <c r="AA383" i="3"/>
  <c r="AA377" i="3"/>
  <c r="AA372" i="3"/>
  <c r="AA367" i="3"/>
  <c r="AA361" i="3"/>
  <c r="AA356" i="3"/>
  <c r="AA351" i="3"/>
  <c r="AA345" i="3"/>
  <c r="AA340" i="3"/>
  <c r="AA335" i="3"/>
  <c r="AA329" i="3"/>
  <c r="AA324" i="3"/>
  <c r="AA319" i="3"/>
  <c r="AA313" i="3"/>
  <c r="AA308" i="3"/>
  <c r="AA303" i="3"/>
  <c r="AA535" i="3"/>
  <c r="AA515" i="3"/>
  <c r="AA495" i="3"/>
  <c r="AA300" i="3"/>
  <c r="AA295" i="3"/>
  <c r="AA290" i="3"/>
  <c r="AA284" i="3"/>
  <c r="AA279" i="3"/>
  <c r="AA274" i="3"/>
  <c r="AA268" i="3"/>
  <c r="AA263" i="3"/>
  <c r="AA258" i="3"/>
  <c r="AA252" i="3"/>
  <c r="AA247" i="3"/>
  <c r="AA242" i="3"/>
  <c r="AA236" i="3"/>
  <c r="AA231" i="3"/>
  <c r="AA226" i="3"/>
  <c r="AA220" i="3"/>
  <c r="AA215" i="3"/>
  <c r="AA211" i="3"/>
  <c r="AA207" i="3"/>
  <c r="AA203" i="3"/>
  <c r="AA199" i="3"/>
  <c r="AA195" i="3"/>
  <c r="AA191" i="3"/>
  <c r="AA187" i="3"/>
  <c r="AA525" i="3"/>
  <c r="AA493" i="3"/>
  <c r="AA537" i="3"/>
  <c r="AA481" i="3"/>
  <c r="AA179" i="3"/>
  <c r="AA170" i="3"/>
  <c r="AA163" i="3"/>
  <c r="AA505" i="3"/>
  <c r="AA184" i="3"/>
  <c r="AA176" i="3"/>
  <c r="AA634" i="3"/>
  <c r="AA652" i="3"/>
  <c r="AA606" i="3"/>
  <c r="AA595" i="3"/>
  <c r="AA584" i="3"/>
  <c r="AA574" i="3"/>
  <c r="AA570" i="3"/>
  <c r="AA559" i="3"/>
  <c r="AA549" i="3"/>
  <c r="AA620" i="3"/>
  <c r="AA522" i="3"/>
  <c r="AA502" i="3"/>
  <c r="AA480" i="3"/>
  <c r="AA465" i="3"/>
  <c r="AA455" i="3"/>
  <c r="AA444" i="3"/>
  <c r="AA433" i="3"/>
  <c r="AA423" i="3"/>
  <c r="AA412" i="3"/>
  <c r="AA401" i="3"/>
  <c r="AA391" i="3"/>
  <c r="AA380" i="3"/>
  <c r="AA369" i="3"/>
  <c r="AA359" i="3"/>
  <c r="AA348" i="3"/>
  <c r="AA337" i="3"/>
  <c r="AA327" i="3"/>
  <c r="AA316" i="3"/>
  <c r="AA305" i="3"/>
  <c r="AA527" i="3"/>
  <c r="AA483" i="3"/>
  <c r="AA292" i="3"/>
  <c r="AA282" i="3"/>
  <c r="AA271" i="3"/>
  <c r="AA260" i="3"/>
  <c r="AA251" i="3"/>
  <c r="AA244" i="3"/>
  <c r="AA238" i="3"/>
  <c r="AA230" i="3"/>
  <c r="AA223" i="3"/>
  <c r="AA216" i="3"/>
  <c r="AA210" i="3"/>
  <c r="AA205" i="3"/>
  <c r="AA200" i="3"/>
  <c r="AA194" i="3"/>
  <c r="AA189" i="3"/>
  <c r="AA533" i="3"/>
  <c r="AA485" i="3"/>
  <c r="AA513" i="3"/>
  <c r="AA181" i="3"/>
  <c r="AA169" i="3"/>
  <c r="AA640" i="3"/>
  <c r="AA186" i="3"/>
  <c r="AA174" i="3"/>
  <c r="AA166" i="3"/>
  <c r="AA629" i="3"/>
  <c r="AA615" i="3"/>
  <c r="AA602" i="3"/>
  <c r="AA591" i="3"/>
  <c r="AA580" i="3"/>
  <c r="AA625" i="3"/>
  <c r="AA566" i="3"/>
  <c r="AA555" i="3"/>
  <c r="AA545" i="3"/>
  <c r="AA536" i="3"/>
  <c r="AA514" i="3"/>
  <c r="AA494" i="3"/>
  <c r="AA472" i="3"/>
  <c r="AA461" i="3"/>
  <c r="AA451" i="3"/>
  <c r="AA440" i="3"/>
  <c r="AA429" i="3"/>
  <c r="AA419" i="3"/>
  <c r="AA408" i="3"/>
  <c r="AA397" i="3"/>
  <c r="AA387" i="3"/>
  <c r="AA376" i="3"/>
  <c r="AA365" i="3"/>
  <c r="AA355" i="3"/>
  <c r="AA344" i="3"/>
  <c r="AA333" i="3"/>
  <c r="AA323" i="3"/>
  <c r="AA312" i="3"/>
  <c r="AA301" i="3"/>
  <c r="AA511" i="3"/>
  <c r="AA299" i="3"/>
  <c r="AA288" i="3"/>
  <c r="AA278" i="3"/>
  <c r="AA267" i="3"/>
  <c r="AA256" i="3"/>
  <c r="AA250" i="3"/>
  <c r="AA243" i="3"/>
  <c r="AA235" i="3"/>
  <c r="AA228" i="3"/>
  <c r="AA222" i="3"/>
  <c r="AA214" i="3"/>
  <c r="AA209" i="3"/>
  <c r="AA204" i="3"/>
  <c r="AA198" i="3"/>
  <c r="AA193" i="3"/>
  <c r="AA188" i="3"/>
  <c r="AA517" i="3"/>
  <c r="AA477" i="3"/>
  <c r="AA497" i="3"/>
  <c r="AA177" i="3"/>
  <c r="AA167" i="3"/>
  <c r="AA529" i="3"/>
  <c r="AA182" i="3"/>
  <c r="AA172" i="3"/>
  <c r="AA164" i="3"/>
  <c r="AA643" i="3"/>
  <c r="AA607" i="3"/>
  <c r="AA586" i="3"/>
  <c r="AA617" i="3"/>
  <c r="AA550" i="3"/>
  <c r="AA526" i="3"/>
  <c r="AA482" i="3"/>
  <c r="AA456" i="3"/>
  <c r="AA435" i="3"/>
  <c r="AA413" i="3"/>
  <c r="AA392" i="3"/>
  <c r="AA371" i="3"/>
  <c r="AA349" i="3"/>
  <c r="AA328" i="3"/>
  <c r="AA307" i="3"/>
  <c r="AA487" i="3"/>
  <c r="AA283" i="3"/>
  <c r="AA262" i="3"/>
  <c r="AA246" i="3"/>
  <c r="AA232" i="3"/>
  <c r="AA218" i="3"/>
  <c r="AA206" i="3"/>
  <c r="AA196" i="3"/>
  <c r="AA541" i="3"/>
  <c r="AA521" i="3"/>
  <c r="AA173" i="3"/>
  <c r="AA473" i="3"/>
  <c r="AA168" i="3"/>
  <c r="AA626" i="3"/>
  <c r="AA600" i="3"/>
  <c r="AA579" i="3"/>
  <c r="AA565" i="3"/>
  <c r="AA543" i="3"/>
  <c r="AA512" i="3"/>
  <c r="AA471" i="3"/>
  <c r="AA449" i="3"/>
  <c r="AA428" i="3"/>
  <c r="AA407" i="3"/>
  <c r="AA385" i="3"/>
  <c r="AA364" i="3"/>
  <c r="AA343" i="3"/>
  <c r="AA321" i="3"/>
  <c r="AA622" i="3"/>
  <c r="AA298" i="3"/>
  <c r="AA276" i="3"/>
  <c r="AA255" i="3"/>
  <c r="AA240" i="3"/>
  <c r="AA227" i="3"/>
  <c r="AA213" i="3"/>
  <c r="AA202" i="3"/>
  <c r="AA192" i="3"/>
  <c r="AA509" i="3"/>
  <c r="AA185" i="3"/>
  <c r="AA165" i="3"/>
  <c r="AA180" i="3"/>
  <c r="AA162" i="3"/>
  <c r="AA653" i="3"/>
  <c r="AA596" i="3"/>
  <c r="AA575" i="3"/>
  <c r="AA561" i="3"/>
  <c r="AA571" i="3"/>
  <c r="AA504" i="3"/>
  <c r="AA467" i="3"/>
  <c r="AA445" i="3"/>
  <c r="AA424" i="3"/>
  <c r="AA403" i="3"/>
  <c r="AA381" i="3"/>
  <c r="AA360" i="3"/>
  <c r="AA339" i="3"/>
  <c r="AA317" i="3"/>
  <c r="AA531" i="3"/>
  <c r="AA294" i="3"/>
  <c r="AA272" i="3"/>
  <c r="AA254" i="3"/>
  <c r="AA239" i="3"/>
  <c r="AA224" i="3"/>
  <c r="AA212" i="3"/>
  <c r="AA201" i="3"/>
  <c r="AA190" i="3"/>
  <c r="AA501" i="3"/>
  <c r="AA183" i="3"/>
  <c r="AA161" i="3"/>
  <c r="AA178" i="3"/>
  <c r="AA160" i="3"/>
  <c r="AB642" i="3"/>
  <c r="AB645" i="3"/>
  <c r="AB644" i="3"/>
  <c r="AB635" i="3"/>
  <c r="AB627" i="3"/>
  <c r="AB621" i="3"/>
  <c r="AB639" i="3"/>
  <c r="AB617" i="3"/>
  <c r="AB620" i="3"/>
  <c r="AB601" i="3"/>
  <c r="AB585" i="3"/>
  <c r="AB571" i="3"/>
  <c r="AB558" i="3"/>
  <c r="AB647" i="3"/>
  <c r="AB606" i="3"/>
  <c r="AB590" i="3"/>
  <c r="AB574" i="3"/>
  <c r="AB557" i="3"/>
  <c r="AB542" i="3"/>
  <c r="AB538" i="3"/>
  <c r="AB534" i="3"/>
  <c r="AB530" i="3"/>
  <c r="AB526" i="3"/>
  <c r="AB522" i="3"/>
  <c r="AB518" i="3"/>
  <c r="AB514" i="3"/>
  <c r="AB510" i="3"/>
  <c r="AB506" i="3"/>
  <c r="AB502" i="3"/>
  <c r="AB498" i="3"/>
  <c r="AB494" i="3"/>
  <c r="AB490" i="3"/>
  <c r="AB486" i="3"/>
  <c r="AB482" i="3"/>
  <c r="AB478" i="3"/>
  <c r="AB474" i="3"/>
  <c r="AB596" i="3"/>
  <c r="AB564" i="3"/>
  <c r="AB612" i="3"/>
  <c r="AB587" i="3"/>
  <c r="AB547" i="3"/>
  <c r="AB568" i="3"/>
  <c r="AB586" i="3"/>
  <c r="AB471" i="3"/>
  <c r="AB463" i="3"/>
  <c r="AB455" i="3"/>
  <c r="AB447" i="3"/>
  <c r="AB439" i="3"/>
  <c r="AB431" i="3"/>
  <c r="AB423" i="3"/>
  <c r="AB415" i="3"/>
  <c r="AB407" i="3"/>
  <c r="AB399" i="3"/>
  <c r="AB391" i="3"/>
  <c r="AB383" i="3"/>
  <c r="AB375" i="3"/>
  <c r="AB367" i="3"/>
  <c r="AB359" i="3"/>
  <c r="AB351" i="3"/>
  <c r="AB343" i="3"/>
  <c r="AB335" i="3"/>
  <c r="AB327" i="3"/>
  <c r="AB319" i="3"/>
  <c r="AB311" i="3"/>
  <c r="AB303" i="3"/>
  <c r="AB544" i="3"/>
  <c r="AB184" i="3"/>
  <c r="AB176" i="3"/>
  <c r="AB168" i="3"/>
  <c r="AB160" i="3"/>
  <c r="AB452" i="3"/>
  <c r="AB420" i="3"/>
  <c r="AB388" i="3"/>
  <c r="AB356" i="3"/>
  <c r="AB324" i="3"/>
  <c r="AB295" i="3"/>
  <c r="AB638" i="3"/>
  <c r="AB641" i="3"/>
  <c r="AB636" i="3"/>
  <c r="AB633" i="3"/>
  <c r="AB648" i="3"/>
  <c r="AB619" i="3"/>
  <c r="AB634" i="3"/>
  <c r="AB613" i="3"/>
  <c r="AB616" i="3"/>
  <c r="AB600" i="3"/>
  <c r="AB584" i="3"/>
  <c r="AB570" i="3"/>
  <c r="AB554" i="3"/>
  <c r="AB622" i="3"/>
  <c r="AB599" i="3"/>
  <c r="AB583" i="3"/>
  <c r="AB569" i="3"/>
  <c r="AB553" i="3"/>
  <c r="AB541" i="3"/>
  <c r="AB537" i="3"/>
  <c r="AB533" i="3"/>
  <c r="AB529" i="3"/>
  <c r="AB525" i="3"/>
  <c r="AB521" i="3"/>
  <c r="AB517" i="3"/>
  <c r="AB513" i="3"/>
  <c r="AB509" i="3"/>
  <c r="AB505" i="3"/>
  <c r="AB501" i="3"/>
  <c r="AB497" i="3"/>
  <c r="AB493" i="3"/>
  <c r="AB489" i="3"/>
  <c r="AB485" i="3"/>
  <c r="AB481" i="3"/>
  <c r="AB477" i="3"/>
  <c r="AB473" i="3"/>
  <c r="AB589" i="3"/>
  <c r="AB556" i="3"/>
  <c r="AB610" i="3"/>
  <c r="AB578" i="3"/>
  <c r="AB604" i="3"/>
  <c r="AB552" i="3"/>
  <c r="AB579" i="3"/>
  <c r="AB469" i="3"/>
  <c r="AB461" i="3"/>
  <c r="AB453" i="3"/>
  <c r="AB445" i="3"/>
  <c r="AB437" i="3"/>
  <c r="AB429" i="3"/>
  <c r="AB421" i="3"/>
  <c r="AB413" i="3"/>
  <c r="AB405" i="3"/>
  <c r="AB397" i="3"/>
  <c r="AB389" i="3"/>
  <c r="AB381" i="3"/>
  <c r="AB373" i="3"/>
  <c r="AB365" i="3"/>
  <c r="AB357" i="3"/>
  <c r="AB349" i="3"/>
  <c r="AB341" i="3"/>
  <c r="AB333" i="3"/>
  <c r="AB325" i="3"/>
  <c r="AB317" i="3"/>
  <c r="AB309" i="3"/>
  <c r="AB301" i="3"/>
  <c r="AB560" i="3"/>
  <c r="AB182" i="3"/>
  <c r="AB174" i="3"/>
  <c r="AB166" i="3"/>
  <c r="AB567" i="3"/>
  <c r="AB444" i="3"/>
  <c r="AB412" i="3"/>
  <c r="AB380" i="3"/>
  <c r="AB348" i="3"/>
  <c r="AB316" i="3"/>
  <c r="AB291" i="3"/>
  <c r="AB275" i="3"/>
  <c r="AB259" i="3"/>
  <c r="AB243" i="3"/>
  <c r="AB227" i="3"/>
  <c r="AB211" i="3"/>
  <c r="AB195" i="3"/>
  <c r="AB602" i="3"/>
  <c r="AB466" i="3"/>
  <c r="AB650" i="3"/>
  <c r="AB653" i="3"/>
  <c r="AB637" i="3"/>
  <c r="AB651" i="3"/>
  <c r="AB631" i="3"/>
  <c r="AB625" i="3"/>
  <c r="AB618" i="3"/>
  <c r="AB630" i="3"/>
  <c r="AB640" i="3"/>
  <c r="AB609" i="3"/>
  <c r="AB593" i="3"/>
  <c r="AB577" i="3"/>
  <c r="AB566" i="3"/>
  <c r="AB550" i="3"/>
  <c r="AB615" i="3"/>
  <c r="AB598" i="3"/>
  <c r="AB582" i="3"/>
  <c r="AB565" i="3"/>
  <c r="AB549" i="3"/>
  <c r="AB540" i="3"/>
  <c r="AB536" i="3"/>
  <c r="AB532" i="3"/>
  <c r="AB528" i="3"/>
  <c r="AB524" i="3"/>
  <c r="AB520" i="3"/>
  <c r="AB516" i="3"/>
  <c r="AB512" i="3"/>
  <c r="AB508" i="3"/>
  <c r="AB504" i="3"/>
  <c r="AB500" i="3"/>
  <c r="AB496" i="3"/>
  <c r="AB492" i="3"/>
  <c r="AB488" i="3"/>
  <c r="AB484" i="3"/>
  <c r="AB480" i="3"/>
  <c r="AB476" i="3"/>
  <c r="AB472" i="3"/>
  <c r="AB580" i="3"/>
  <c r="AB548" i="3"/>
  <c r="AB603" i="3"/>
  <c r="AB563" i="3"/>
  <c r="AB597" i="3"/>
  <c r="AB632" i="3"/>
  <c r="AB559" i="3"/>
  <c r="AB467" i="3"/>
  <c r="AB459" i="3"/>
  <c r="AB451" i="3"/>
  <c r="AB443" i="3"/>
  <c r="AB435" i="3"/>
  <c r="AB427" i="3"/>
  <c r="AB419" i="3"/>
  <c r="AB411" i="3"/>
  <c r="AB403" i="3"/>
  <c r="AB395" i="3"/>
  <c r="AB387" i="3"/>
  <c r="AB379" i="3"/>
  <c r="AB371" i="3"/>
  <c r="AB363" i="3"/>
  <c r="AB355" i="3"/>
  <c r="AB347" i="3"/>
  <c r="AB339" i="3"/>
  <c r="AB331" i="3"/>
  <c r="AB323" i="3"/>
  <c r="AB315" i="3"/>
  <c r="AB307" i="3"/>
  <c r="AB588" i="3"/>
  <c r="AB186" i="3"/>
  <c r="AB180" i="3"/>
  <c r="AB172" i="3"/>
  <c r="AB164" i="3"/>
  <c r="AB468" i="3"/>
  <c r="AB436" i="3"/>
  <c r="AB404" i="3"/>
  <c r="AB372" i="3"/>
  <c r="AB340" i="3"/>
  <c r="AB308" i="3"/>
  <c r="AB287" i="3"/>
  <c r="AB269" i="3"/>
  <c r="AB255" i="3"/>
  <c r="AB237" i="3"/>
  <c r="AB223" i="3"/>
  <c r="AB207" i="3"/>
  <c r="AB191" i="3"/>
  <c r="AB595" i="3"/>
  <c r="AB462" i="3"/>
  <c r="AB643" i="3"/>
  <c r="AB626" i="3"/>
  <c r="AB576" i="3"/>
  <c r="AB591" i="3"/>
  <c r="AB539" i="3"/>
  <c r="AB523" i="3"/>
  <c r="AB507" i="3"/>
  <c r="AB491" i="3"/>
  <c r="AB475" i="3"/>
  <c r="AB594" i="3"/>
  <c r="AB543" i="3"/>
  <c r="AB441" i="3"/>
  <c r="AB409" i="3"/>
  <c r="AB377" i="3"/>
  <c r="AB345" i="3"/>
  <c r="AB313" i="3"/>
  <c r="AB178" i="3"/>
  <c r="AB428" i="3"/>
  <c r="AB299" i="3"/>
  <c r="AB263" i="3"/>
  <c r="AB231" i="3"/>
  <c r="AB199" i="3"/>
  <c r="AB470" i="3"/>
  <c r="AB446" i="3"/>
  <c r="AB430" i="3"/>
  <c r="AB414" i="3"/>
  <c r="AB398" i="3"/>
  <c r="AB382" i="3"/>
  <c r="AB366" i="3"/>
  <c r="AB350" i="3"/>
  <c r="AB334" i="3"/>
  <c r="AB318" i="3"/>
  <c r="AB302" i="3"/>
  <c r="AB294" i="3"/>
  <c r="AB286" i="3"/>
  <c r="AB278" i="3"/>
  <c r="AB270" i="3"/>
  <c r="AB262" i="3"/>
  <c r="AB254" i="3"/>
  <c r="AB246" i="3"/>
  <c r="AB238" i="3"/>
  <c r="AB230" i="3"/>
  <c r="AB222" i="3"/>
  <c r="AB214" i="3"/>
  <c r="AB206" i="3"/>
  <c r="AB198" i="3"/>
  <c r="AB190" i="3"/>
  <c r="AB179" i="3"/>
  <c r="AB171" i="3"/>
  <c r="AB163" i="3"/>
  <c r="AB448" i="3"/>
  <c r="AB416" i="3"/>
  <c r="AB384" i="3"/>
  <c r="AB352" i="3"/>
  <c r="AB320" i="3"/>
  <c r="AB293" i="3"/>
  <c r="AB277" i="3"/>
  <c r="AB261" i="3"/>
  <c r="AB245" i="3"/>
  <c r="AB229" i="3"/>
  <c r="AB213" i="3"/>
  <c r="AB197" i="3"/>
  <c r="AB646" i="3"/>
  <c r="AB629" i="3"/>
  <c r="AB624" i="3"/>
  <c r="AB562" i="3"/>
  <c r="AB575" i="3"/>
  <c r="AB535" i="3"/>
  <c r="AB519" i="3"/>
  <c r="AB503" i="3"/>
  <c r="AB487" i="3"/>
  <c r="AB605" i="3"/>
  <c r="AB555" i="3"/>
  <c r="AB465" i="3"/>
  <c r="AB433" i="3"/>
  <c r="AB401" i="3"/>
  <c r="AB369" i="3"/>
  <c r="AB337" i="3"/>
  <c r="AB305" i="3"/>
  <c r="AB170" i="3"/>
  <c r="AB396" i="3"/>
  <c r="AB283" i="3"/>
  <c r="AB251" i="3"/>
  <c r="AB219" i="3"/>
  <c r="AB187" i="3"/>
  <c r="AB458" i="3"/>
  <c r="AB442" i="3"/>
  <c r="AB426" i="3"/>
  <c r="AB410" i="3"/>
  <c r="AB394" i="3"/>
  <c r="AB378" i="3"/>
  <c r="AB362" i="3"/>
  <c r="AB346" i="3"/>
  <c r="AB330" i="3"/>
  <c r="AB314" i="3"/>
  <c r="AB300" i="3"/>
  <c r="AB292" i="3"/>
  <c r="AB284" i="3"/>
  <c r="AB276" i="3"/>
  <c r="AB268" i="3"/>
  <c r="AB260" i="3"/>
  <c r="AB252" i="3"/>
  <c r="AB244" i="3"/>
  <c r="AB236" i="3"/>
  <c r="AB228" i="3"/>
  <c r="AB220" i="3"/>
  <c r="AB212" i="3"/>
  <c r="AB204" i="3"/>
  <c r="AB196" i="3"/>
  <c r="AB188" i="3"/>
  <c r="AB177" i="3"/>
  <c r="AB169" i="3"/>
  <c r="AB161" i="3"/>
  <c r="AB440" i="3"/>
  <c r="AB408" i="3"/>
  <c r="AB376" i="3"/>
  <c r="AB344" i="3"/>
  <c r="AB312" i="3"/>
  <c r="AB289" i="3"/>
  <c r="AB273" i="3"/>
  <c r="AB257" i="3"/>
  <c r="AB241" i="3"/>
  <c r="AB225" i="3"/>
  <c r="AB209" i="3"/>
  <c r="AB193" i="3"/>
  <c r="AB649" i="3"/>
  <c r="AB623" i="3"/>
  <c r="AB608" i="3"/>
  <c r="AB546" i="3"/>
  <c r="AB561" i="3"/>
  <c r="AB531" i="3"/>
  <c r="AB515" i="3"/>
  <c r="AB499" i="3"/>
  <c r="AB483" i="3"/>
  <c r="AB573" i="3"/>
  <c r="AB572" i="3"/>
  <c r="AB457" i="3"/>
  <c r="AB425" i="3"/>
  <c r="AB393" i="3"/>
  <c r="AB361" i="3"/>
  <c r="AB329" i="3"/>
  <c r="AB581" i="3"/>
  <c r="AB162" i="3"/>
  <c r="AB364" i="3"/>
  <c r="AB279" i="3"/>
  <c r="AB247" i="3"/>
  <c r="AB215" i="3"/>
  <c r="AB159" i="3"/>
  <c r="AB454" i="3"/>
  <c r="AB438" i="3"/>
  <c r="AB422" i="3"/>
  <c r="AB406" i="3"/>
  <c r="AB390" i="3"/>
  <c r="AB374" i="3"/>
  <c r="AB358" i="3"/>
  <c r="AB342" i="3"/>
  <c r="AB326" i="3"/>
  <c r="AB310" i="3"/>
  <c r="AB298" i="3"/>
  <c r="AB290" i="3"/>
  <c r="AB282" i="3"/>
  <c r="AB274" i="3"/>
  <c r="AB266" i="3"/>
  <c r="AB258" i="3"/>
  <c r="AB250" i="3"/>
  <c r="AB242" i="3"/>
  <c r="AB234" i="3"/>
  <c r="AB226" i="3"/>
  <c r="AB218" i="3"/>
  <c r="AB210" i="3"/>
  <c r="AB202" i="3"/>
  <c r="AB194" i="3"/>
  <c r="AB183" i="3"/>
  <c r="AB175" i="3"/>
  <c r="AB167" i="3"/>
  <c r="AB464" i="3"/>
  <c r="AB432" i="3"/>
  <c r="AB400" i="3"/>
  <c r="AB368" i="3"/>
  <c r="AB336" i="3"/>
  <c r="AB304" i="3"/>
  <c r="AB285" i="3"/>
  <c r="AB271" i="3"/>
  <c r="AB253" i="3"/>
  <c r="AB239" i="3"/>
  <c r="AB221" i="3"/>
  <c r="AB205" i="3"/>
  <c r="AB189" i="3"/>
  <c r="AB607" i="3"/>
  <c r="AB495" i="3"/>
  <c r="AB449" i="3"/>
  <c r="AB321" i="3"/>
  <c r="AB265" i="3"/>
  <c r="AB450" i="3"/>
  <c r="AB386" i="3"/>
  <c r="AB322" i="3"/>
  <c r="AB280" i="3"/>
  <c r="AB248" i="3"/>
  <c r="AB216" i="3"/>
  <c r="AB181" i="3"/>
  <c r="AB424" i="3"/>
  <c r="AB297" i="3"/>
  <c r="AB233" i="3"/>
  <c r="AB652" i="3"/>
  <c r="AB545" i="3"/>
  <c r="AB479" i="3"/>
  <c r="AB417" i="3"/>
  <c r="AB185" i="3"/>
  <c r="AB235" i="3"/>
  <c r="AB434" i="3"/>
  <c r="AB370" i="3"/>
  <c r="AB306" i="3"/>
  <c r="AB272" i="3"/>
  <c r="AB240" i="3"/>
  <c r="AB208" i="3"/>
  <c r="AB173" i="3"/>
  <c r="AB392" i="3"/>
  <c r="AB281" i="3"/>
  <c r="AB217" i="3"/>
  <c r="AB614" i="3"/>
  <c r="AB527" i="3"/>
  <c r="AB628" i="3"/>
  <c r="AB385" i="3"/>
  <c r="AB460" i="3"/>
  <c r="AB203" i="3"/>
  <c r="AB418" i="3"/>
  <c r="AB354" i="3"/>
  <c r="AB296" i="3"/>
  <c r="AB264" i="3"/>
  <c r="AB232" i="3"/>
  <c r="AB200" i="3"/>
  <c r="AB165" i="3"/>
  <c r="AB360" i="3"/>
  <c r="AB267" i="3"/>
  <c r="AB201" i="3"/>
  <c r="AB353" i="3"/>
  <c r="AB338" i="3"/>
  <c r="AB192" i="3"/>
  <c r="AB592" i="3"/>
  <c r="AB332" i="3"/>
  <c r="AB288" i="3"/>
  <c r="AB456" i="3"/>
  <c r="AB511" i="3"/>
  <c r="AB551" i="3"/>
  <c r="AB256" i="3"/>
  <c r="AB328" i="3"/>
  <c r="AB249" i="3"/>
  <c r="AB611" i="3"/>
  <c r="AB402" i="3"/>
  <c r="AG650" i="3"/>
  <c r="AG653" i="3"/>
  <c r="AG637" i="3"/>
  <c r="AG632" i="3"/>
  <c r="AG647" i="3"/>
  <c r="AG622" i="3"/>
  <c r="AG618" i="3"/>
  <c r="AG614" i="3"/>
  <c r="AG644" i="3"/>
  <c r="AG635" i="3"/>
  <c r="AG609" i="3"/>
  <c r="AG601" i="3"/>
  <c r="AG593" i="3"/>
  <c r="AG585" i="3"/>
  <c r="AG577" i="3"/>
  <c r="AG643" i="3"/>
  <c r="AG580" i="3"/>
  <c r="AG562" i="3"/>
  <c r="AG546" i="3"/>
  <c r="AG539" i="3"/>
  <c r="AG535" i="3"/>
  <c r="AG531" i="3"/>
  <c r="AG527" i="3"/>
  <c r="AG523" i="3"/>
  <c r="AG519" i="3"/>
  <c r="AG515" i="3"/>
  <c r="AG511" i="3"/>
  <c r="AG507" i="3"/>
  <c r="AG503" i="3"/>
  <c r="AG499" i="3"/>
  <c r="AG495" i="3"/>
  <c r="AG491" i="3"/>
  <c r="AG487" i="3"/>
  <c r="AG483" i="3"/>
  <c r="AG479" i="3"/>
  <c r="AG475" i="3"/>
  <c r="AG471" i="3"/>
  <c r="AG646" i="3"/>
  <c r="AG649" i="3"/>
  <c r="AG648" i="3"/>
  <c r="AG630" i="3"/>
  <c r="AG639" i="3"/>
  <c r="AG621" i="3"/>
  <c r="AG617" i="3"/>
  <c r="AG613" i="3"/>
  <c r="AG631" i="3"/>
  <c r="AG636" i="3"/>
  <c r="AG607" i="3"/>
  <c r="AG599" i="3"/>
  <c r="AG591" i="3"/>
  <c r="AG583" i="3"/>
  <c r="AG575" i="3"/>
  <c r="AG604" i="3"/>
  <c r="AG572" i="3"/>
  <c r="AG558" i="3"/>
  <c r="AG542" i="3"/>
  <c r="AG538" i="3"/>
  <c r="AG534" i="3"/>
  <c r="AG530" i="3"/>
  <c r="AG526" i="3"/>
  <c r="AG522" i="3"/>
  <c r="AG518" i="3"/>
  <c r="AG514" i="3"/>
  <c r="AG510" i="3"/>
  <c r="AG506" i="3"/>
  <c r="AG502" i="3"/>
  <c r="AG498" i="3"/>
  <c r="AG494" i="3"/>
  <c r="AG490" i="3"/>
  <c r="AG486" i="3"/>
  <c r="AG482" i="3"/>
  <c r="AG478" i="3"/>
  <c r="AG474" i="3"/>
  <c r="AG629" i="3"/>
  <c r="AG586" i="3"/>
  <c r="AG565" i="3"/>
  <c r="AG549" i="3"/>
  <c r="AG576" i="3"/>
  <c r="AG544" i="3"/>
  <c r="AG567" i="3"/>
  <c r="AG600" i="3"/>
  <c r="AG468" i="3"/>
  <c r="AG460" i="3"/>
  <c r="AG452" i="3"/>
  <c r="AG444" i="3"/>
  <c r="AG436" i="3"/>
  <c r="AG428" i="3"/>
  <c r="AG420" i="3"/>
  <c r="AG412" i="3"/>
  <c r="AG404" i="3"/>
  <c r="AG396" i="3"/>
  <c r="AG388" i="3"/>
  <c r="AG380" i="3"/>
  <c r="AG372" i="3"/>
  <c r="AG364" i="3"/>
  <c r="AG356" i="3"/>
  <c r="AG348" i="3"/>
  <c r="AG340" i="3"/>
  <c r="AG332" i="3"/>
  <c r="AG324" i="3"/>
  <c r="AG316" i="3"/>
  <c r="AG308" i="3"/>
  <c r="AG582" i="3"/>
  <c r="AG459" i="3"/>
  <c r="AG443" i="3"/>
  <c r="AG427" i="3"/>
  <c r="AG411" i="3"/>
  <c r="AG395" i="3"/>
  <c r="AG379" i="3"/>
  <c r="AG363" i="3"/>
  <c r="AG347" i="3"/>
  <c r="AG331" i="3"/>
  <c r="AG315" i="3"/>
  <c r="AG299" i="3"/>
  <c r="AG291" i="3"/>
  <c r="AG283" i="3"/>
  <c r="AG275" i="3"/>
  <c r="AG267" i="3"/>
  <c r="AG259" i="3"/>
  <c r="AG251" i="3"/>
  <c r="AG243" i="3"/>
  <c r="AG235" i="3"/>
  <c r="AG227" i="3"/>
  <c r="AG219" i="3"/>
  <c r="AG211" i="3"/>
  <c r="AG203" i="3"/>
  <c r="AG195" i="3"/>
  <c r="AG187" i="3"/>
  <c r="AG441" i="3"/>
  <c r="AG409" i="3"/>
  <c r="AG377" i="3"/>
  <c r="AG345" i="3"/>
  <c r="AG313" i="3"/>
  <c r="AG292" i="3"/>
  <c r="AG276" i="3"/>
  <c r="AG262" i="3"/>
  <c r="AG246" i="3"/>
  <c r="AG230" i="3"/>
  <c r="AG216" i="3"/>
  <c r="AG202" i="3"/>
  <c r="AG190" i="3"/>
  <c r="AG185" i="3"/>
  <c r="AG181" i="3"/>
  <c r="AG177" i="3"/>
  <c r="AG173" i="3"/>
  <c r="AG169" i="3"/>
  <c r="AG165" i="3"/>
  <c r="AG638" i="3"/>
  <c r="AG634" i="3"/>
  <c r="AG623" i="3"/>
  <c r="AG615" i="3"/>
  <c r="AG651" i="3"/>
  <c r="AG603" i="3"/>
  <c r="AG587" i="3"/>
  <c r="AG652" i="3"/>
  <c r="AG566" i="3"/>
  <c r="AG540" i="3"/>
  <c r="AG532" i="3"/>
  <c r="AG524" i="3"/>
  <c r="AG516" i="3"/>
  <c r="AG508" i="3"/>
  <c r="AG500" i="3"/>
  <c r="AG492" i="3"/>
  <c r="AG484" i="3"/>
  <c r="AG476" i="3"/>
  <c r="AG602" i="3"/>
  <c r="AG569" i="3"/>
  <c r="AG545" i="3"/>
  <c r="AG560" i="3"/>
  <c r="AG574" i="3"/>
  <c r="AG564" i="3"/>
  <c r="AG464" i="3"/>
  <c r="AG454" i="3"/>
  <c r="AG442" i="3"/>
  <c r="AG432" i="3"/>
  <c r="AG422" i="3"/>
  <c r="AG410" i="3"/>
  <c r="AG400" i="3"/>
  <c r="AG390" i="3"/>
  <c r="AG378" i="3"/>
  <c r="AG368" i="3"/>
  <c r="AG358" i="3"/>
  <c r="AG346" i="3"/>
  <c r="AG336" i="3"/>
  <c r="AG326" i="3"/>
  <c r="AG314" i="3"/>
  <c r="AG304" i="3"/>
  <c r="AG463" i="3"/>
  <c r="AG439" i="3"/>
  <c r="AG419" i="3"/>
  <c r="AG399" i="3"/>
  <c r="AG375" i="3"/>
  <c r="AG355" i="3"/>
  <c r="AG335" i="3"/>
  <c r="AG311" i="3"/>
  <c r="AG295" i="3"/>
  <c r="AG285" i="3"/>
  <c r="AG273" i="3"/>
  <c r="AG263" i="3"/>
  <c r="AG253" i="3"/>
  <c r="AG241" i="3"/>
  <c r="AG231" i="3"/>
  <c r="AG221" i="3"/>
  <c r="AG209" i="3"/>
  <c r="AG199" i="3"/>
  <c r="AG189" i="3"/>
  <c r="AG433" i="3"/>
  <c r="AG393" i="3"/>
  <c r="AG353" i="3"/>
  <c r="AG305" i="3"/>
  <c r="AG284" i="3"/>
  <c r="AG264" i="3"/>
  <c r="AG242" i="3"/>
  <c r="AG222" i="3"/>
  <c r="AG206" i="3"/>
  <c r="AG159" i="3"/>
  <c r="AG183" i="3"/>
  <c r="AG178" i="3"/>
  <c r="AG172" i="3"/>
  <c r="AG167" i="3"/>
  <c r="AG162" i="3"/>
  <c r="AG556" i="3"/>
  <c r="AG445" i="3"/>
  <c r="AG413" i="3"/>
  <c r="AG381" i="3"/>
  <c r="AG349" i="3"/>
  <c r="AG317" i="3"/>
  <c r="AG294" i="3"/>
  <c r="AG278" i="3"/>
  <c r="AG260" i="3"/>
  <c r="AG244" i="3"/>
  <c r="AG228" i="3"/>
  <c r="AG208" i="3"/>
  <c r="AG188" i="3"/>
  <c r="AG628" i="3"/>
  <c r="AG620" i="3"/>
  <c r="AG612" i="3"/>
  <c r="AG597" i="3"/>
  <c r="AG581" i="3"/>
  <c r="AG596" i="3"/>
  <c r="AG537" i="3"/>
  <c r="AG529" i="3"/>
  <c r="AG521" i="3"/>
  <c r="AG513" i="3"/>
  <c r="AG497" i="3"/>
  <c r="AG489" i="3"/>
  <c r="AG473" i="3"/>
  <c r="AG594" i="3"/>
  <c r="AG608" i="3"/>
  <c r="AG559" i="3"/>
  <c r="AG548" i="3"/>
  <c r="AG450" i="3"/>
  <c r="AG440" i="3"/>
  <c r="AG418" i="3"/>
  <c r="AG408" i="3"/>
  <c r="AG386" i="3"/>
  <c r="AG376" i="3"/>
  <c r="AG366" i="3"/>
  <c r="AG344" i="3"/>
  <c r="AG334" i="3"/>
  <c r="AG322" i="3"/>
  <c r="AG302" i="3"/>
  <c r="AG455" i="3"/>
  <c r="AG415" i="3"/>
  <c r="AG645" i="3"/>
  <c r="AG633" i="3"/>
  <c r="AG554" i="3"/>
  <c r="AG505" i="3"/>
  <c r="AG481" i="3"/>
  <c r="AG561" i="3"/>
  <c r="AG552" i="3"/>
  <c r="AG462" i="3"/>
  <c r="AG430" i="3"/>
  <c r="AG398" i="3"/>
  <c r="AG354" i="3"/>
  <c r="AG312" i="3"/>
  <c r="AG435" i="3"/>
  <c r="AG641" i="3"/>
  <c r="AG626" i="3"/>
  <c r="AG619" i="3"/>
  <c r="AG611" i="3"/>
  <c r="AG625" i="3"/>
  <c r="AG595" i="3"/>
  <c r="AG579" i="3"/>
  <c r="AG588" i="3"/>
  <c r="AG550" i="3"/>
  <c r="AG536" i="3"/>
  <c r="AG528" i="3"/>
  <c r="AG520" i="3"/>
  <c r="AG512" i="3"/>
  <c r="AG504" i="3"/>
  <c r="AG496" i="3"/>
  <c r="AG488" i="3"/>
  <c r="AG480" i="3"/>
  <c r="AG472" i="3"/>
  <c r="AG578" i="3"/>
  <c r="AG557" i="3"/>
  <c r="AG592" i="3"/>
  <c r="AG606" i="3"/>
  <c r="AG551" i="3"/>
  <c r="AG470" i="3"/>
  <c r="AG458" i="3"/>
  <c r="AG448" i="3"/>
  <c r="AG438" i="3"/>
  <c r="AG426" i="3"/>
  <c r="AG416" i="3"/>
  <c r="AG406" i="3"/>
  <c r="AG394" i="3"/>
  <c r="AG384" i="3"/>
  <c r="AG374" i="3"/>
  <c r="AG362" i="3"/>
  <c r="AG352" i="3"/>
  <c r="AG342" i="3"/>
  <c r="AG330" i="3"/>
  <c r="AG320" i="3"/>
  <c r="AG310" i="3"/>
  <c r="AG555" i="3"/>
  <c r="AG451" i="3"/>
  <c r="AG431" i="3"/>
  <c r="AG407" i="3"/>
  <c r="AG387" i="3"/>
  <c r="AG367" i="3"/>
  <c r="AG343" i="3"/>
  <c r="AG323" i="3"/>
  <c r="AG303" i="3"/>
  <c r="AG289" i="3"/>
  <c r="AG279" i="3"/>
  <c r="AG269" i="3"/>
  <c r="AG257" i="3"/>
  <c r="AG247" i="3"/>
  <c r="AG237" i="3"/>
  <c r="AG225" i="3"/>
  <c r="AG215" i="3"/>
  <c r="AG205" i="3"/>
  <c r="AG193" i="3"/>
  <c r="AG457" i="3"/>
  <c r="AG417" i="3"/>
  <c r="AG369" i="3"/>
  <c r="AG329" i="3"/>
  <c r="AG296" i="3"/>
  <c r="AG272" i="3"/>
  <c r="AG254" i="3"/>
  <c r="AG234" i="3"/>
  <c r="AG212" i="3"/>
  <c r="AG198" i="3"/>
  <c r="AG186" i="3"/>
  <c r="AG180" i="3"/>
  <c r="AG175" i="3"/>
  <c r="AG170" i="3"/>
  <c r="AG164" i="3"/>
  <c r="AG160" i="3"/>
  <c r="AG461" i="3"/>
  <c r="AG429" i="3"/>
  <c r="AG397" i="3"/>
  <c r="AG365" i="3"/>
  <c r="AG333" i="3"/>
  <c r="AG301" i="3"/>
  <c r="AG286" i="3"/>
  <c r="AG270" i="3"/>
  <c r="AG252" i="3"/>
  <c r="AG236" i="3"/>
  <c r="AG220" i="3"/>
  <c r="AG196" i="3"/>
  <c r="AG563" i="3"/>
  <c r="AH487" i="3"/>
  <c r="AF248" i="3"/>
  <c r="AF264" i="3"/>
  <c r="AF280" i="3"/>
  <c r="AF296" i="3"/>
  <c r="AF321" i="3"/>
  <c r="AF353" i="3"/>
  <c r="AF385" i="3"/>
  <c r="AF417" i="3"/>
  <c r="AF449" i="3"/>
  <c r="AF161" i="3"/>
  <c r="AF169" i="3"/>
  <c r="AF177" i="3"/>
  <c r="AF184" i="3"/>
  <c r="AF609" i="3"/>
  <c r="AF308" i="3"/>
  <c r="AF316" i="3"/>
  <c r="AF324" i="3"/>
  <c r="AF332" i="3"/>
  <c r="AF340" i="3"/>
  <c r="AF348" i="3"/>
  <c r="AF356" i="3"/>
  <c r="AF364" i="3"/>
  <c r="AF372" i="3"/>
  <c r="AF380" i="3"/>
  <c r="AF388" i="3"/>
  <c r="AF396" i="3"/>
  <c r="AF404" i="3"/>
  <c r="AF412" i="3"/>
  <c r="AF420" i="3"/>
  <c r="AF428" i="3"/>
  <c r="AF436" i="3"/>
  <c r="AF444" i="3"/>
  <c r="AF452" i="3"/>
  <c r="AF460" i="3"/>
  <c r="AF468" i="3"/>
  <c r="AF575" i="3"/>
  <c r="AF586" i="3"/>
  <c r="AF560" i="3"/>
  <c r="AF592" i="3"/>
  <c r="AF545" i="3"/>
  <c r="AF571" i="3"/>
  <c r="AF601" i="3"/>
  <c r="AF629" i="3"/>
  <c r="AF472" i="3"/>
  <c r="AF476" i="3"/>
  <c r="AF480" i="3"/>
  <c r="AF484" i="3"/>
  <c r="AF488" i="3"/>
  <c r="AF492" i="3"/>
  <c r="AF496" i="3"/>
  <c r="AF500" i="3"/>
  <c r="AF504" i="3"/>
  <c r="AF508" i="3"/>
  <c r="AF512" i="3"/>
  <c r="AF516" i="3"/>
  <c r="AF520" i="3"/>
  <c r="AF524" i="3"/>
  <c r="AF528" i="3"/>
  <c r="AF535" i="3"/>
  <c r="AF546" i="3"/>
  <c r="AF579" i="3"/>
  <c r="AF616" i="3"/>
  <c r="AF559" i="3"/>
  <c r="AF590" i="3"/>
  <c r="AF618" i="3"/>
  <c r="AF624" i="3"/>
  <c r="AF640" i="3"/>
  <c r="AF635" i="3"/>
  <c r="AH242" i="3"/>
  <c r="V79" i="2"/>
  <c r="AH314" i="3"/>
  <c r="AF256" i="3"/>
  <c r="AF270" i="3"/>
  <c r="AF288" i="3"/>
  <c r="AF305" i="3"/>
  <c r="AF337" i="3"/>
  <c r="AF369" i="3"/>
  <c r="AF401" i="3"/>
  <c r="AF433" i="3"/>
  <c r="AF465" i="3"/>
  <c r="AF165" i="3"/>
  <c r="AF173" i="3"/>
  <c r="AF181" i="3"/>
  <c r="AF565" i="3"/>
  <c r="AF304" i="3"/>
  <c r="AF312" i="3"/>
  <c r="AF320" i="3"/>
  <c r="AF328" i="3"/>
  <c r="AF336" i="3"/>
  <c r="AF344" i="3"/>
  <c r="AF352" i="3"/>
  <c r="AF360" i="3"/>
  <c r="AF368" i="3"/>
  <c r="AF376" i="3"/>
  <c r="AF384" i="3"/>
  <c r="AF392" i="3"/>
  <c r="AF400" i="3"/>
  <c r="AF408" i="3"/>
  <c r="AF416" i="3"/>
  <c r="AF424" i="3"/>
  <c r="AF432" i="3"/>
  <c r="AF440" i="3"/>
  <c r="AF448" i="3"/>
  <c r="AF456" i="3"/>
  <c r="AF464" i="3"/>
  <c r="AF548" i="3"/>
  <c r="AF607" i="3"/>
  <c r="AF544" i="3"/>
  <c r="AF576" i="3"/>
  <c r="AF608" i="3"/>
  <c r="AF561" i="3"/>
  <c r="AF585" i="3"/>
  <c r="AF612" i="3"/>
  <c r="AF645" i="3"/>
  <c r="AF474" i="3"/>
  <c r="AF478" i="3"/>
  <c r="AF482" i="3"/>
  <c r="AF486" i="3"/>
  <c r="AF490" i="3"/>
  <c r="AF494" i="3"/>
  <c r="AF498" i="3"/>
  <c r="AF502" i="3"/>
  <c r="AF506" i="3"/>
  <c r="AF510" i="3"/>
  <c r="AF514" i="3"/>
  <c r="AF518" i="3"/>
  <c r="AF522" i="3"/>
  <c r="AF526" i="3"/>
  <c r="AF531" i="3"/>
  <c r="AF539" i="3"/>
  <c r="AF562" i="3"/>
  <c r="AF595" i="3"/>
  <c r="AF543" i="3"/>
  <c r="AF574" i="3"/>
  <c r="AF606" i="3"/>
  <c r="AF611" i="3"/>
  <c r="AF628" i="3"/>
  <c r="AF638" i="3"/>
  <c r="AF651" i="3"/>
  <c r="AH179" i="3"/>
  <c r="AH430" i="3"/>
  <c r="AH210" i="3"/>
  <c r="AH274" i="3"/>
  <c r="AH163" i="3"/>
  <c r="AH226" i="3"/>
  <c r="AH290" i="3"/>
  <c r="AH596" i="3"/>
  <c r="AH194" i="3"/>
  <c r="AH258" i="3"/>
  <c r="AH362" i="3"/>
  <c r="AF532" i="3"/>
  <c r="AF536" i="3"/>
  <c r="AF540" i="3"/>
  <c r="AF550" i="3"/>
  <c r="AF566" i="3"/>
  <c r="AF580" i="3"/>
  <c r="AF596" i="3"/>
  <c r="AF617" i="3"/>
  <c r="AF547" i="3"/>
  <c r="AF563" i="3"/>
  <c r="AF581" i="3"/>
  <c r="AF597" i="3"/>
  <c r="AF613" i="3"/>
  <c r="AF627" i="3"/>
  <c r="AF615" i="3"/>
  <c r="AF637" i="3"/>
  <c r="AF630" i="3"/>
  <c r="AF648" i="3"/>
  <c r="AF642" i="3"/>
  <c r="AF639" i="3"/>
  <c r="AF529" i="3"/>
  <c r="AF533" i="3"/>
  <c r="AF537" i="3"/>
  <c r="AF541" i="3"/>
  <c r="AF554" i="3"/>
  <c r="AF570" i="3"/>
  <c r="AF587" i="3"/>
  <c r="AF603" i="3"/>
  <c r="AF633" i="3"/>
  <c r="AF551" i="3"/>
  <c r="AF567" i="3"/>
  <c r="AF582" i="3"/>
  <c r="AF598" i="3"/>
  <c r="AF621" i="3"/>
  <c r="AF631" i="3"/>
  <c r="AF620" i="3"/>
  <c r="AF653" i="3"/>
  <c r="AF632" i="3"/>
  <c r="AF641" i="3"/>
  <c r="AF646" i="3"/>
  <c r="AH475" i="3"/>
  <c r="AH547" i="3"/>
  <c r="AH218" i="3"/>
  <c r="AH250" i="3"/>
  <c r="AH282" i="3"/>
  <c r="AH346" i="3"/>
  <c r="AH462" i="3"/>
  <c r="AH483" i="3"/>
  <c r="AH171" i="3"/>
  <c r="AH202" i="3"/>
  <c r="AH234" i="3"/>
  <c r="AH266" i="3"/>
  <c r="AH481" i="3"/>
  <c r="AH410" i="3"/>
  <c r="AH632" i="3"/>
  <c r="V84" i="2"/>
  <c r="V85" i="2"/>
  <c r="AH546" i="3"/>
  <c r="AH378" i="3"/>
  <c r="AH561" i="3"/>
  <c r="V89" i="2"/>
  <c r="AC649" i="3"/>
  <c r="AC652" i="3"/>
  <c r="AC636" i="3"/>
  <c r="AC633" i="3"/>
  <c r="AC650" i="3"/>
  <c r="AC623" i="3"/>
  <c r="AC619" i="3"/>
  <c r="AC615" i="3"/>
  <c r="AC611" i="3"/>
  <c r="AC626" i="3"/>
  <c r="AC610" i="3"/>
  <c r="AC602" i="3"/>
  <c r="AC594" i="3"/>
  <c r="AC586" i="3"/>
  <c r="AC641" i="3"/>
  <c r="AC644" i="3"/>
  <c r="AC643" i="3"/>
  <c r="AC629" i="3"/>
  <c r="AC625" i="3"/>
  <c r="AC621" i="3"/>
  <c r="AC617" i="3"/>
  <c r="AC613" i="3"/>
  <c r="AC634" i="3"/>
  <c r="AC647" i="3"/>
  <c r="AC606" i="3"/>
  <c r="AC598" i="3"/>
  <c r="AC590" i="3"/>
  <c r="AC582" i="3"/>
  <c r="AC574" i="3"/>
  <c r="AC599" i="3"/>
  <c r="AC569" i="3"/>
  <c r="AC553" i="3"/>
  <c r="AC541" i="3"/>
  <c r="AC537" i="3"/>
  <c r="AC533" i="3"/>
  <c r="AC529" i="3"/>
  <c r="AC525" i="3"/>
  <c r="AC521" i="3"/>
  <c r="AC517" i="3"/>
  <c r="AC513" i="3"/>
  <c r="AC509" i="3"/>
  <c r="AC505" i="3"/>
  <c r="AC501" i="3"/>
  <c r="AC497" i="3"/>
  <c r="AC493" i="3"/>
  <c r="AC489" i="3"/>
  <c r="AC485" i="3"/>
  <c r="AC481" i="3"/>
  <c r="AC477" i="3"/>
  <c r="AC473" i="3"/>
  <c r="AC597" i="3"/>
  <c r="AC568" i="3"/>
  <c r="AC552" i="3"/>
  <c r="AC587" i="3"/>
  <c r="AC601" i="3"/>
  <c r="AC554" i="3"/>
  <c r="AC559" i="3"/>
  <c r="AC467" i="3"/>
  <c r="AC459" i="3"/>
  <c r="AC451" i="3"/>
  <c r="AC443" i="3"/>
  <c r="AC435" i="3"/>
  <c r="AC427" i="3"/>
  <c r="AC419" i="3"/>
  <c r="AC648" i="3"/>
  <c r="AC631" i="3"/>
  <c r="AC622" i="3"/>
  <c r="AC614" i="3"/>
  <c r="AC646" i="3"/>
  <c r="AC600" i="3"/>
  <c r="AC584" i="3"/>
  <c r="AC572" i="3"/>
  <c r="AC583" i="3"/>
  <c r="AC557" i="3"/>
  <c r="AC540" i="3"/>
  <c r="AC535" i="3"/>
  <c r="AC530" i="3"/>
  <c r="AC524" i="3"/>
  <c r="AC519" i="3"/>
  <c r="AC514" i="3"/>
  <c r="AC508" i="3"/>
  <c r="AC503" i="3"/>
  <c r="AC498" i="3"/>
  <c r="AC492" i="3"/>
  <c r="AC487" i="3"/>
  <c r="AC482" i="3"/>
  <c r="AC476" i="3"/>
  <c r="AC638" i="3"/>
  <c r="AC573" i="3"/>
  <c r="AC548" i="3"/>
  <c r="AC555" i="3"/>
  <c r="AC562" i="3"/>
  <c r="AC543" i="3"/>
  <c r="AC463" i="3"/>
  <c r="AC453" i="3"/>
  <c r="AC441" i="3"/>
  <c r="AC431" i="3"/>
  <c r="AC421" i="3"/>
  <c r="AC411" i="3"/>
  <c r="AC403" i="3"/>
  <c r="AC395" i="3"/>
  <c r="AC387" i="3"/>
  <c r="AC379" i="3"/>
  <c r="AC371" i="3"/>
  <c r="AC363" i="3"/>
  <c r="AC355" i="3"/>
  <c r="AC347" i="3"/>
  <c r="AC339" i="3"/>
  <c r="AC331" i="3"/>
  <c r="AC323" i="3"/>
  <c r="AC315" i="3"/>
  <c r="AC307" i="3"/>
  <c r="AC593" i="3"/>
  <c r="AC551" i="3"/>
  <c r="AL651" i="3"/>
  <c r="AL647" i="3"/>
  <c r="AL643" i="3"/>
  <c r="AL639" i="3"/>
  <c r="AL635" i="3"/>
  <c r="AL631" i="3"/>
  <c r="AL627" i="3"/>
  <c r="AL623" i="3"/>
  <c r="AL619" i="3"/>
  <c r="AL614" i="3"/>
  <c r="AL607" i="3"/>
  <c r="AL603" i="3"/>
  <c r="AL599" i="3"/>
  <c r="AL595" i="3"/>
  <c r="AL591" i="3"/>
  <c r="AL587" i="3"/>
  <c r="AL583" i="3"/>
  <c r="AL579" i="3"/>
  <c r="AL575" i="3"/>
  <c r="AL571" i="3"/>
  <c r="AL562" i="3"/>
  <c r="AL546" i="3"/>
  <c r="AL569" i="3"/>
  <c r="AL553" i="3"/>
  <c r="AL556" i="3"/>
  <c r="AL555" i="3"/>
  <c r="AL537" i="3"/>
  <c r="AL529" i="3"/>
  <c r="AL521" i="3"/>
  <c r="AL513" i="3"/>
  <c r="AL505" i="3"/>
  <c r="AL497" i="3"/>
  <c r="AL489" i="3"/>
  <c r="AL481" i="3"/>
  <c r="AL473" i="3"/>
  <c r="AL468" i="3"/>
  <c r="AL464" i="3"/>
  <c r="AL460" i="3"/>
  <c r="AL456" i="3"/>
  <c r="AL452" i="3"/>
  <c r="AL448" i="3"/>
  <c r="AL444" i="3"/>
  <c r="AL440" i="3"/>
  <c r="AL436" i="3"/>
  <c r="AL432" i="3"/>
  <c r="AL428" i="3"/>
  <c r="AL424" i="3"/>
  <c r="AL420" i="3"/>
  <c r="AL416" i="3"/>
  <c r="AL412" i="3"/>
  <c r="AL408" i="3"/>
  <c r="AL404" i="3"/>
  <c r="AL650" i="3"/>
  <c r="AL646" i="3"/>
  <c r="AL642" i="3"/>
  <c r="AL638" i="3"/>
  <c r="AL634" i="3"/>
  <c r="AL630" i="3"/>
  <c r="AL626" i="3"/>
  <c r="AL622" i="3"/>
  <c r="AL618" i="3"/>
  <c r="AL610" i="3"/>
  <c r="AL606" i="3"/>
  <c r="AL602" i="3"/>
  <c r="AL598" i="3"/>
  <c r="AL594" i="3"/>
  <c r="AL590" i="3"/>
  <c r="AL586" i="3"/>
  <c r="AL582" i="3"/>
  <c r="AL578" i="3"/>
  <c r="AL574" i="3"/>
  <c r="AL570" i="3"/>
  <c r="AL558" i="3"/>
  <c r="AL542" i="3"/>
  <c r="AL565" i="3"/>
  <c r="AL549" i="3"/>
  <c r="AL548" i="3"/>
  <c r="AL547" i="3"/>
  <c r="AL535" i="3"/>
  <c r="AL527" i="3"/>
  <c r="AL519" i="3"/>
  <c r="AL511" i="3"/>
  <c r="AL503" i="3"/>
  <c r="AL495" i="3"/>
  <c r="AL487" i="3"/>
  <c r="AL479" i="3"/>
  <c r="AL471" i="3"/>
  <c r="AL467" i="3"/>
  <c r="AL463" i="3"/>
  <c r="AL459" i="3"/>
  <c r="AL455" i="3"/>
  <c r="AL451" i="3"/>
  <c r="AL447" i="3"/>
  <c r="AL443" i="3"/>
  <c r="AL439" i="3"/>
  <c r="AL435" i="3"/>
  <c r="AL431" i="3"/>
  <c r="AL427" i="3"/>
  <c r="AL423" i="3"/>
  <c r="AL419" i="3"/>
  <c r="AL415" i="3"/>
  <c r="AL411" i="3"/>
  <c r="AL407" i="3"/>
  <c r="AL403" i="3"/>
  <c r="AL399" i="3"/>
  <c r="AL395" i="3"/>
  <c r="AL391" i="3"/>
  <c r="AL387" i="3"/>
  <c r="AL383" i="3"/>
  <c r="AL379" i="3"/>
  <c r="AL375" i="3"/>
  <c r="AL371" i="3"/>
  <c r="AL367" i="3"/>
  <c r="AL363" i="3"/>
  <c r="AL359" i="3"/>
  <c r="AL355" i="3"/>
  <c r="AL351" i="3"/>
  <c r="AL347" i="3"/>
  <c r="AL343" i="3"/>
  <c r="AL339" i="3"/>
  <c r="AL335" i="3"/>
  <c r="AL331" i="3"/>
  <c r="AL327" i="3"/>
  <c r="AL323" i="3"/>
  <c r="AL319" i="3"/>
  <c r="AL315" i="3"/>
  <c r="AL311" i="3"/>
  <c r="AL307" i="3"/>
  <c r="AL303" i="3"/>
  <c r="AL560" i="3"/>
  <c r="AL538" i="3"/>
  <c r="AL522" i="3"/>
  <c r="AL506" i="3"/>
  <c r="AL653" i="3"/>
  <c r="AL649" i="3"/>
  <c r="AL645" i="3"/>
  <c r="AL641" i="3"/>
  <c r="AL637" i="3"/>
  <c r="AL633" i="3"/>
  <c r="AL629" i="3"/>
  <c r="AL625" i="3"/>
  <c r="AL621" i="3"/>
  <c r="AL615" i="3"/>
  <c r="AL609" i="3"/>
  <c r="AL605" i="3"/>
  <c r="AL601" i="3"/>
  <c r="AL597" i="3"/>
  <c r="AL593" i="3"/>
  <c r="AL589" i="3"/>
  <c r="AL585" i="3"/>
  <c r="AL581" i="3"/>
  <c r="AL577" i="3"/>
  <c r="AL573" i="3"/>
  <c r="AL617" i="3"/>
  <c r="AL554" i="3"/>
  <c r="AL613" i="3"/>
  <c r="AL561" i="3"/>
  <c r="AL545" i="3"/>
  <c r="AL616" i="3"/>
  <c r="AL541" i="3"/>
  <c r="AL533" i="3"/>
  <c r="AL525" i="3"/>
  <c r="AL517" i="3"/>
  <c r="AL509" i="3"/>
  <c r="AL501" i="3"/>
  <c r="AL493" i="3"/>
  <c r="AL485" i="3"/>
  <c r="AL477" i="3"/>
  <c r="AL470" i="3"/>
  <c r="AL466" i="3"/>
  <c r="AL462" i="3"/>
  <c r="AL458" i="3"/>
  <c r="AL454" i="3"/>
  <c r="AL450" i="3"/>
  <c r="AL446" i="3"/>
  <c r="AL442" i="3"/>
  <c r="AL438" i="3"/>
  <c r="AL434" i="3"/>
  <c r="AL430" i="3"/>
  <c r="AL426" i="3"/>
  <c r="AL422" i="3"/>
  <c r="AL418" i="3"/>
  <c r="AL414" i="3"/>
  <c r="AL410" i="3"/>
  <c r="AL406" i="3"/>
  <c r="AL402" i="3"/>
  <c r="AL398" i="3"/>
  <c r="AL394" i="3"/>
  <c r="AL390" i="3"/>
  <c r="AL386" i="3"/>
  <c r="AL382" i="3"/>
  <c r="AL378" i="3"/>
  <c r="AL374" i="3"/>
  <c r="AL370" i="3"/>
  <c r="AL366" i="3"/>
  <c r="AL362" i="3"/>
  <c r="AL358" i="3"/>
  <c r="AL354" i="3"/>
  <c r="AL350" i="3"/>
  <c r="AL346" i="3"/>
  <c r="AL342" i="3"/>
  <c r="AL338" i="3"/>
  <c r="AL334" i="3"/>
  <c r="AL330" i="3"/>
  <c r="AL326" i="3"/>
  <c r="AL322" i="3"/>
  <c r="AL318" i="3"/>
  <c r="AL314" i="3"/>
  <c r="AL310" i="3"/>
  <c r="AL306" i="3"/>
  <c r="AL302" i="3"/>
  <c r="AL544" i="3"/>
  <c r="AL534" i="3"/>
  <c r="AL518" i="3"/>
  <c r="AL652" i="3"/>
  <c r="AL636" i="3"/>
  <c r="AL620" i="3"/>
  <c r="AL600" i="3"/>
  <c r="AL584" i="3"/>
  <c r="AL566" i="3"/>
  <c r="AL564" i="3"/>
  <c r="AL523" i="3"/>
  <c r="AL491" i="3"/>
  <c r="AL465" i="3"/>
  <c r="AL449" i="3"/>
  <c r="AL433" i="3"/>
  <c r="AL417" i="3"/>
  <c r="AL401" i="3"/>
  <c r="AL393" i="3"/>
  <c r="AL385" i="3"/>
  <c r="AL377" i="3"/>
  <c r="AL369" i="3"/>
  <c r="AL361" i="3"/>
  <c r="AL353" i="3"/>
  <c r="AL345" i="3"/>
  <c r="AL337" i="3"/>
  <c r="AL329" i="3"/>
  <c r="AL321" i="3"/>
  <c r="AL313" i="3"/>
  <c r="AL305" i="3"/>
  <c r="AL567" i="3"/>
  <c r="AL514" i="3"/>
  <c r="AL494" i="3"/>
  <c r="AL478" i="3"/>
  <c r="AL297" i="3"/>
  <c r="AL293" i="3"/>
  <c r="AL289" i="3"/>
  <c r="AL285" i="3"/>
  <c r="AL281" i="3"/>
  <c r="AL277" i="3"/>
  <c r="AL273" i="3"/>
  <c r="AL269" i="3"/>
  <c r="AL265" i="3"/>
  <c r="AL261" i="3"/>
  <c r="AL257" i="3"/>
  <c r="AL253" i="3"/>
  <c r="AL249" i="3"/>
  <c r="AL245" i="3"/>
  <c r="AL241" i="3"/>
  <c r="AL237" i="3"/>
  <c r="AL233" i="3"/>
  <c r="AL229" i="3"/>
  <c r="AL225" i="3"/>
  <c r="AL221" i="3"/>
  <c r="AL217" i="3"/>
  <c r="AL213" i="3"/>
  <c r="AL209" i="3"/>
  <c r="AL205" i="3"/>
  <c r="AL201" i="3"/>
  <c r="AL197" i="3"/>
  <c r="AL193" i="3"/>
  <c r="AL189" i="3"/>
  <c r="AL186" i="3"/>
  <c r="AL182" i="3"/>
  <c r="AL178" i="3"/>
  <c r="AL174" i="3"/>
  <c r="AL170" i="3"/>
  <c r="AL166" i="3"/>
  <c r="AL162" i="3"/>
  <c r="AL559" i="3"/>
  <c r="AL496" i="3"/>
  <c r="AL532" i="3"/>
  <c r="AL500" i="3"/>
  <c r="AL159" i="3"/>
  <c r="AL472" i="3"/>
  <c r="AL644" i="3"/>
  <c r="AL628" i="3"/>
  <c r="AL608" i="3"/>
  <c r="AL592" i="3"/>
  <c r="AL576" i="3"/>
  <c r="AL612" i="3"/>
  <c r="AL539" i="3"/>
  <c r="AL507" i="3"/>
  <c r="AL475" i="3"/>
  <c r="AL457" i="3"/>
  <c r="AL441" i="3"/>
  <c r="AL425" i="3"/>
  <c r="AL409" i="3"/>
  <c r="AL397" i="3"/>
  <c r="AL389" i="3"/>
  <c r="AL381" i="3"/>
  <c r="AL373" i="3"/>
  <c r="AL365" i="3"/>
  <c r="AL357" i="3"/>
  <c r="AL349" i="3"/>
  <c r="AL341" i="3"/>
  <c r="AL333" i="3"/>
  <c r="AL325" i="3"/>
  <c r="AL317" i="3"/>
  <c r="AL309" i="3"/>
  <c r="AL301" i="3"/>
  <c r="AL530" i="3"/>
  <c r="AL502" i="3"/>
  <c r="AL486" i="3"/>
  <c r="AL299" i="3"/>
  <c r="AL295" i="3"/>
  <c r="AL291" i="3"/>
  <c r="AL287" i="3"/>
  <c r="AL283" i="3"/>
  <c r="AL279" i="3"/>
  <c r="AL275" i="3"/>
  <c r="AL271" i="3"/>
  <c r="AL267" i="3"/>
  <c r="AL263" i="3"/>
  <c r="AL259" i="3"/>
  <c r="AL255" i="3"/>
  <c r="AL251" i="3"/>
  <c r="AL247" i="3"/>
  <c r="AL243" i="3"/>
  <c r="AL239" i="3"/>
  <c r="AL235" i="3"/>
  <c r="AL231" i="3"/>
  <c r="AL227" i="3"/>
  <c r="AL223" i="3"/>
  <c r="AL219" i="3"/>
  <c r="AL215" i="3"/>
  <c r="AL211" i="3"/>
  <c r="AL207" i="3"/>
  <c r="AL203" i="3"/>
  <c r="AL199" i="3"/>
  <c r="AL195" i="3"/>
  <c r="AL191" i="3"/>
  <c r="AL187" i="3"/>
  <c r="AL184" i="3"/>
  <c r="AL180" i="3"/>
  <c r="AL176" i="3"/>
  <c r="AL172" i="3"/>
  <c r="AL168" i="3"/>
  <c r="AL164" i="3"/>
  <c r="AL160" i="3"/>
  <c r="AL528" i="3"/>
  <c r="AL543" i="3"/>
  <c r="AL516" i="3"/>
  <c r="AL484" i="3"/>
  <c r="AL504" i="3"/>
  <c r="AL648" i="3"/>
  <c r="AL611" i="3"/>
  <c r="AL580" i="3"/>
  <c r="AL563" i="3"/>
  <c r="AL483" i="3"/>
  <c r="AL445" i="3"/>
  <c r="AL413" i="3"/>
  <c r="AL392" i="3"/>
  <c r="AL376" i="3"/>
  <c r="AL360" i="3"/>
  <c r="AL344" i="3"/>
  <c r="AL328" i="3"/>
  <c r="AL312" i="3"/>
  <c r="AL551" i="3"/>
  <c r="AL490" i="3"/>
  <c r="AL296" i="3"/>
  <c r="AL288" i="3"/>
  <c r="AL280" i="3"/>
  <c r="AL272" i="3"/>
  <c r="AL264" i="3"/>
  <c r="AL256" i="3"/>
  <c r="AL248" i="3"/>
  <c r="AL240" i="3"/>
  <c r="AL232" i="3"/>
  <c r="AL224" i="3"/>
  <c r="AL216" i="3"/>
  <c r="AL208" i="3"/>
  <c r="AL200" i="3"/>
  <c r="AL192" i="3"/>
  <c r="AL185" i="3"/>
  <c r="AL177" i="3"/>
  <c r="AL169" i="3"/>
  <c r="AL161" i="3"/>
  <c r="AL480" i="3"/>
  <c r="AL492" i="3"/>
  <c r="AL640" i="3"/>
  <c r="AL604" i="3"/>
  <c r="AL572" i="3"/>
  <c r="AL531" i="3"/>
  <c r="AL469" i="3"/>
  <c r="AL437" i="3"/>
  <c r="AL405" i="3"/>
  <c r="AL388" i="3"/>
  <c r="AL372" i="3"/>
  <c r="AL356" i="3"/>
  <c r="AL340" i="3"/>
  <c r="AL324" i="3"/>
  <c r="AL308" i="3"/>
  <c r="AL526" i="3"/>
  <c r="AL482" i="3"/>
  <c r="AL294" i="3"/>
  <c r="AL286" i="3"/>
  <c r="AL278" i="3"/>
  <c r="AL270" i="3"/>
  <c r="AL262" i="3"/>
  <c r="AL254" i="3"/>
  <c r="AL246" i="3"/>
  <c r="AL238" i="3"/>
  <c r="AL230" i="3"/>
  <c r="AL222" i="3"/>
  <c r="AL214" i="3"/>
  <c r="AL206" i="3"/>
  <c r="AL198" i="3"/>
  <c r="AL190" i="3"/>
  <c r="AL183" i="3"/>
  <c r="AL175" i="3"/>
  <c r="AL167" i="3"/>
  <c r="AL552" i="3"/>
  <c r="AL540" i="3"/>
  <c r="AL476" i="3"/>
  <c r="AL632" i="3"/>
  <c r="AL596" i="3"/>
  <c r="AL550" i="3"/>
  <c r="AL515" i="3"/>
  <c r="AL461" i="3"/>
  <c r="AL429" i="3"/>
  <c r="AL400" i="3"/>
  <c r="AL384" i="3"/>
  <c r="AL368" i="3"/>
  <c r="AL352" i="3"/>
  <c r="AL336" i="3"/>
  <c r="AL320" i="3"/>
  <c r="AL304" i="3"/>
  <c r="AL510" i="3"/>
  <c r="AL474" i="3"/>
  <c r="AL292" i="3"/>
  <c r="AL284" i="3"/>
  <c r="AL276" i="3"/>
  <c r="AL268" i="3"/>
  <c r="AL260" i="3"/>
  <c r="AL252" i="3"/>
  <c r="AL244" i="3"/>
  <c r="AL236" i="3"/>
  <c r="AL228" i="3"/>
  <c r="AL220" i="3"/>
  <c r="AL212" i="3"/>
  <c r="AL204" i="3"/>
  <c r="AL196" i="3"/>
  <c r="AL188" i="3"/>
  <c r="AL181" i="3"/>
  <c r="AL173" i="3"/>
  <c r="AL165" i="3"/>
  <c r="AL536" i="3"/>
  <c r="AL524" i="3"/>
  <c r="AL520" i="3"/>
  <c r="AC195" i="3"/>
  <c r="AC213" i="3"/>
  <c r="AC227" i="3"/>
  <c r="AC243" i="3"/>
  <c r="AC259" i="3"/>
  <c r="AC277" i="3"/>
  <c r="AC293" i="3"/>
  <c r="AC320" i="3"/>
  <c r="AC352" i="3"/>
  <c r="AC384" i="3"/>
  <c r="AC416" i="3"/>
  <c r="AC448" i="3"/>
  <c r="AC161" i="3"/>
  <c r="AC165" i="3"/>
  <c r="AC169" i="3"/>
  <c r="AC173" i="3"/>
  <c r="AC177" i="3"/>
  <c r="AC181" i="3"/>
  <c r="AC185" i="3"/>
  <c r="AC577" i="3"/>
  <c r="AC199" i="3"/>
  <c r="AC215" i="3"/>
  <c r="AC233" i="3"/>
  <c r="AC249" i="3"/>
  <c r="AC263" i="3"/>
  <c r="AC279" i="3"/>
  <c r="AC295" i="3"/>
  <c r="AC324" i="3"/>
  <c r="AC356" i="3"/>
  <c r="AC388" i="3"/>
  <c r="AC420" i="3"/>
  <c r="AC452" i="3"/>
  <c r="AC188" i="3"/>
  <c r="AC196" i="3"/>
  <c r="AC204" i="3"/>
  <c r="AC212" i="3"/>
  <c r="AC220" i="3"/>
  <c r="AC228" i="3"/>
  <c r="AC236" i="3"/>
  <c r="AC244" i="3"/>
  <c r="AC252" i="3"/>
  <c r="AC260" i="3"/>
  <c r="AC268" i="3"/>
  <c r="AC276" i="3"/>
  <c r="AC284" i="3"/>
  <c r="AC292" i="3"/>
  <c r="AC300" i="3"/>
  <c r="AC314" i="3"/>
  <c r="AC330" i="3"/>
  <c r="AC346" i="3"/>
  <c r="AC362" i="3"/>
  <c r="AC378" i="3"/>
  <c r="AC394" i="3"/>
  <c r="AC410" i="3"/>
  <c r="AC426" i="3"/>
  <c r="AC442" i="3"/>
  <c r="AC458" i="3"/>
  <c r="AC595" i="3"/>
  <c r="AC303" i="3"/>
  <c r="AC313" i="3"/>
  <c r="AC325" i="3"/>
  <c r="AC335" i="3"/>
  <c r="AC345" i="3"/>
  <c r="AC357" i="3"/>
  <c r="AC367" i="3"/>
  <c r="AC377" i="3"/>
  <c r="AC389" i="3"/>
  <c r="AC399" i="3"/>
  <c r="AC409" i="3"/>
  <c r="AC423" i="3"/>
  <c r="AC437" i="3"/>
  <c r="AC449" i="3"/>
  <c r="AC465" i="3"/>
  <c r="AC632" i="3"/>
  <c r="AC547" i="3"/>
  <c r="AC556" i="3"/>
  <c r="AC589" i="3"/>
  <c r="AC475" i="3"/>
  <c r="AC483" i="3"/>
  <c r="AC490" i="3"/>
  <c r="AC496" i="3"/>
  <c r="AC504" i="3"/>
  <c r="AC511" i="3"/>
  <c r="AC518" i="3"/>
  <c r="AC526" i="3"/>
  <c r="AC532" i="3"/>
  <c r="AC539" i="3"/>
  <c r="AC561" i="3"/>
  <c r="AC607" i="3"/>
  <c r="AC580" i="3"/>
  <c r="AC604" i="3"/>
  <c r="AC639" i="3"/>
  <c r="AC620" i="3"/>
  <c r="AC635" i="3"/>
  <c r="AC645" i="3"/>
  <c r="AL488" i="3"/>
  <c r="AL171" i="3"/>
  <c r="AL202" i="3"/>
  <c r="AL234" i="3"/>
  <c r="AL266" i="3"/>
  <c r="AL298" i="3"/>
  <c r="AL332" i="3"/>
  <c r="AL396" i="3"/>
  <c r="AL557" i="3"/>
  <c r="AC201" i="3"/>
  <c r="AC231" i="3"/>
  <c r="AC265" i="3"/>
  <c r="AC297" i="3"/>
  <c r="AC360" i="3"/>
  <c r="AC424" i="3"/>
  <c r="AC162" i="3"/>
  <c r="AC170" i="3"/>
  <c r="AC182" i="3"/>
  <c r="AC189" i="3"/>
  <c r="AC221" i="3"/>
  <c r="AC267" i="3"/>
  <c r="AC299" i="3"/>
  <c r="AC364" i="3"/>
  <c r="AC460" i="3"/>
  <c r="AC198" i="3"/>
  <c r="AC214" i="3"/>
  <c r="AC238" i="3"/>
  <c r="AC254" i="3"/>
  <c r="AC270" i="3"/>
  <c r="AC294" i="3"/>
  <c r="AC318" i="3"/>
  <c r="AC350" i="3"/>
  <c r="AC382" i="3"/>
  <c r="AC430" i="3"/>
  <c r="AC462" i="3"/>
  <c r="AC305" i="3"/>
  <c r="AC337" i="3"/>
  <c r="AC359" i="3"/>
  <c r="AC391" i="3"/>
  <c r="AC413" i="3"/>
  <c r="AC439" i="3"/>
  <c r="AC546" i="3"/>
  <c r="AC560" i="3"/>
  <c r="AC484" i="3"/>
  <c r="AC499" i="3"/>
  <c r="AC512" i="3"/>
  <c r="AC534" i="3"/>
  <c r="AC565" i="3"/>
  <c r="AC588" i="3"/>
  <c r="AC624" i="3"/>
  <c r="AC653" i="3"/>
  <c r="AL508" i="3"/>
  <c r="AL179" i="3"/>
  <c r="AL210" i="3"/>
  <c r="AL242" i="3"/>
  <c r="AL274" i="3"/>
  <c r="AL498" i="3"/>
  <c r="AL348" i="3"/>
  <c r="AL421" i="3"/>
  <c r="AL588" i="3"/>
  <c r="AC159" i="3"/>
  <c r="AC217" i="3"/>
  <c r="AC247" i="3"/>
  <c r="AC281" i="3"/>
  <c r="AC328" i="3"/>
  <c r="AC392" i="3"/>
  <c r="AC456" i="3"/>
  <c r="AC166" i="3"/>
  <c r="AC174" i="3"/>
  <c r="AC178" i="3"/>
  <c r="AC186" i="3"/>
  <c r="AC205" i="3"/>
  <c r="AC237" i="3"/>
  <c r="AC253" i="3"/>
  <c r="AC283" i="3"/>
  <c r="AC332" i="3"/>
  <c r="AC396" i="3"/>
  <c r="AC428" i="3"/>
  <c r="AC190" i="3"/>
  <c r="AC206" i="3"/>
  <c r="AC222" i="3"/>
  <c r="AC230" i="3"/>
  <c r="AC246" i="3"/>
  <c r="AC262" i="3"/>
  <c r="AC278" i="3"/>
  <c r="AC286" i="3"/>
  <c r="AC302" i="3"/>
  <c r="AC334" i="3"/>
  <c r="AC366" i="3"/>
  <c r="AC398" i="3"/>
  <c r="AC414" i="3"/>
  <c r="AC446" i="3"/>
  <c r="AC550" i="3"/>
  <c r="AC317" i="3"/>
  <c r="AC327" i="3"/>
  <c r="AC349" i="3"/>
  <c r="AC369" i="3"/>
  <c r="AC381" i="3"/>
  <c r="AC401" i="3"/>
  <c r="AC425" i="3"/>
  <c r="AC455" i="3"/>
  <c r="AC469" i="3"/>
  <c r="AC563" i="3"/>
  <c r="AC605" i="3"/>
  <c r="AC478" i="3"/>
  <c r="AC491" i="3"/>
  <c r="AC506" i="3"/>
  <c r="AC520" i="3"/>
  <c r="AC527" i="3"/>
  <c r="AC542" i="3"/>
  <c r="AC571" i="3"/>
  <c r="AC608" i="3"/>
  <c r="AC612" i="3"/>
  <c r="AC651" i="3"/>
  <c r="AC187" i="3"/>
  <c r="AC203" i="3"/>
  <c r="AC219" i="3"/>
  <c r="AC235" i="3"/>
  <c r="AC251" i="3"/>
  <c r="AC269" i="3"/>
  <c r="AC285" i="3"/>
  <c r="AC304" i="3"/>
  <c r="AC336" i="3"/>
  <c r="AC368" i="3"/>
  <c r="AC400" i="3"/>
  <c r="AC432" i="3"/>
  <c r="AC464" i="3"/>
  <c r="AC163" i="3"/>
  <c r="AC167" i="3"/>
  <c r="AC171" i="3"/>
  <c r="AC175" i="3"/>
  <c r="AC179" i="3"/>
  <c r="AC183" i="3"/>
  <c r="AC558" i="3"/>
  <c r="AC193" i="3"/>
  <c r="AC209" i="3"/>
  <c r="AC225" i="3"/>
  <c r="AC241" i="3"/>
  <c r="AC257" i="3"/>
  <c r="AC271" i="3"/>
  <c r="AC287" i="3"/>
  <c r="AC308" i="3"/>
  <c r="AC340" i="3"/>
  <c r="AC372" i="3"/>
  <c r="AC404" i="3"/>
  <c r="AC436" i="3"/>
  <c r="AC468" i="3"/>
  <c r="AC192" i="3"/>
  <c r="AC200" i="3"/>
  <c r="AC208" i="3"/>
  <c r="AC216" i="3"/>
  <c r="AC224" i="3"/>
  <c r="AC232" i="3"/>
  <c r="AC240" i="3"/>
  <c r="AC248" i="3"/>
  <c r="AC256" i="3"/>
  <c r="AC264" i="3"/>
  <c r="AC272" i="3"/>
  <c r="AC280" i="3"/>
  <c r="AC288" i="3"/>
  <c r="AC296" i="3"/>
  <c r="AC306" i="3"/>
  <c r="AC322" i="3"/>
  <c r="AC338" i="3"/>
  <c r="AC354" i="3"/>
  <c r="AC370" i="3"/>
  <c r="AC386" i="3"/>
  <c r="AC402" i="3"/>
  <c r="AC418" i="3"/>
  <c r="AC434" i="3"/>
  <c r="AC450" i="3"/>
  <c r="AC466" i="3"/>
  <c r="AC566" i="3"/>
  <c r="AC309" i="3"/>
  <c r="AC319" i="3"/>
  <c r="AC329" i="3"/>
  <c r="AC341" i="3"/>
  <c r="AC351" i="3"/>
  <c r="AC361" i="3"/>
  <c r="AC373" i="3"/>
  <c r="AC383" i="3"/>
  <c r="AC393" i="3"/>
  <c r="AC405" i="3"/>
  <c r="AC415" i="3"/>
  <c r="AC429" i="3"/>
  <c r="AC445" i="3"/>
  <c r="AC457" i="3"/>
  <c r="AC471" i="3"/>
  <c r="AC570" i="3"/>
  <c r="AC603" i="3"/>
  <c r="AC564" i="3"/>
  <c r="AC472" i="3"/>
  <c r="AC479" i="3"/>
  <c r="AC486" i="3"/>
  <c r="AC494" i="3"/>
  <c r="AC500" i="3"/>
  <c r="AC507" i="3"/>
  <c r="AC515" i="3"/>
  <c r="AC522" i="3"/>
  <c r="AC528" i="3"/>
  <c r="AC536" i="3"/>
  <c r="AC545" i="3"/>
  <c r="AC575" i="3"/>
  <c r="AC576" i="3"/>
  <c r="AC592" i="3"/>
  <c r="AC628" i="3"/>
  <c r="AC616" i="3"/>
  <c r="AC642" i="3"/>
  <c r="AC640" i="3"/>
  <c r="AL512" i="3"/>
  <c r="AL568" i="3"/>
  <c r="AL218" i="3"/>
  <c r="AL250" i="3"/>
  <c r="AL282" i="3"/>
  <c r="AL300" i="3"/>
  <c r="AL364" i="3"/>
  <c r="AL453" i="3"/>
  <c r="AL624" i="3"/>
  <c r="AH330" i="3"/>
  <c r="AH394" i="3"/>
  <c r="AH518" i="3"/>
  <c r="AH563" i="3"/>
  <c r="AH531" i="3"/>
  <c r="AH175" i="3"/>
  <c r="AH190" i="3"/>
  <c r="AH206" i="3"/>
  <c r="AH222" i="3"/>
  <c r="AH238" i="3"/>
  <c r="AH254" i="3"/>
  <c r="AH270" i="3"/>
  <c r="AH286" i="3"/>
  <c r="AH513" i="3"/>
  <c r="AH322" i="3"/>
  <c r="AH354" i="3"/>
  <c r="AH386" i="3"/>
  <c r="AH418" i="3"/>
  <c r="AH486" i="3"/>
  <c r="AH580" i="3"/>
  <c r="AH648" i="3"/>
  <c r="AH519" i="3"/>
  <c r="AH167" i="3"/>
  <c r="AH183" i="3"/>
  <c r="AH198" i="3"/>
  <c r="AH214" i="3"/>
  <c r="AH230" i="3"/>
  <c r="AH246" i="3"/>
  <c r="AH262" i="3"/>
  <c r="AH278" i="3"/>
  <c r="AH295" i="3"/>
  <c r="AH306" i="3"/>
  <c r="AH338" i="3"/>
  <c r="AH370" i="3"/>
  <c r="AH402" i="3"/>
  <c r="AH446" i="3"/>
  <c r="AH543" i="3"/>
  <c r="AH651" i="3"/>
  <c r="AH647" i="3"/>
  <c r="AH643" i="3"/>
  <c r="AH639" i="3"/>
  <c r="AH635" i="3"/>
  <c r="AH631" i="3"/>
  <c r="AH627" i="3"/>
  <c r="AH623" i="3"/>
  <c r="AH619" i="3"/>
  <c r="AH613" i="3"/>
  <c r="AH607" i="3"/>
  <c r="AH603" i="3"/>
  <c r="AH599" i="3"/>
  <c r="AH595" i="3"/>
  <c r="AH591" i="3"/>
  <c r="AH587" i="3"/>
  <c r="AH583" i="3"/>
  <c r="AH579" i="3"/>
  <c r="AH575" i="3"/>
  <c r="AH571" i="3"/>
  <c r="AH615" i="3"/>
  <c r="AH557" i="3"/>
  <c r="AH611" i="3"/>
  <c r="AH556" i="3"/>
  <c r="AH567" i="3"/>
  <c r="AH566" i="3"/>
  <c r="AH540" i="3"/>
  <c r="AH532" i="3"/>
  <c r="AH524" i="3"/>
  <c r="AH516" i="3"/>
  <c r="AH508" i="3"/>
  <c r="AH500" i="3"/>
  <c r="AH492" i="3"/>
  <c r="AH484" i="3"/>
  <c r="AH476" i="3"/>
  <c r="AH469" i="3"/>
  <c r="AH465" i="3"/>
  <c r="AH461" i="3"/>
  <c r="AH457" i="3"/>
  <c r="AH453" i="3"/>
  <c r="AH449" i="3"/>
  <c r="AH445" i="3"/>
  <c r="AH441" i="3"/>
  <c r="AH437" i="3"/>
  <c r="AH433" i="3"/>
  <c r="AH429" i="3"/>
  <c r="AH425" i="3"/>
  <c r="AH421" i="3"/>
  <c r="AH417" i="3"/>
  <c r="AH413" i="3"/>
  <c r="AH409" i="3"/>
  <c r="AH405" i="3"/>
  <c r="AH401" i="3"/>
  <c r="AH397" i="3"/>
  <c r="AH393" i="3"/>
  <c r="AH389" i="3"/>
  <c r="AH385" i="3"/>
  <c r="AH381" i="3"/>
  <c r="AH377" i="3"/>
  <c r="AH373" i="3"/>
  <c r="AH369" i="3"/>
  <c r="AH365" i="3"/>
  <c r="AH361" i="3"/>
  <c r="AH357" i="3"/>
  <c r="AH353" i="3"/>
  <c r="AH349" i="3"/>
  <c r="AH345" i="3"/>
  <c r="AH341" i="3"/>
  <c r="AH337" i="3"/>
  <c r="AH333" i="3"/>
  <c r="AH329" i="3"/>
  <c r="AH325" i="3"/>
  <c r="AH321" i="3"/>
  <c r="AH317" i="3"/>
  <c r="AH313" i="3"/>
  <c r="AH309" i="3"/>
  <c r="AH305" i="3"/>
  <c r="AH301" i="3"/>
  <c r="AH541" i="3"/>
  <c r="AH525" i="3"/>
  <c r="AH509" i="3"/>
  <c r="AH493" i="3"/>
  <c r="AH477" i="3"/>
  <c r="AH298" i="3"/>
  <c r="AH294" i="3"/>
  <c r="AH650" i="3"/>
  <c r="AH646" i="3"/>
  <c r="AH642" i="3"/>
  <c r="AH638" i="3"/>
  <c r="AH634" i="3"/>
  <c r="AH630" i="3"/>
  <c r="AH626" i="3"/>
  <c r="AH622" i="3"/>
  <c r="AH618" i="3"/>
  <c r="AH610" i="3"/>
  <c r="AH606" i="3"/>
  <c r="AH602" i="3"/>
  <c r="AH598" i="3"/>
  <c r="AH594" i="3"/>
  <c r="AH590" i="3"/>
  <c r="AH586" i="3"/>
  <c r="AH582" i="3"/>
  <c r="AH578" i="3"/>
  <c r="AH574" i="3"/>
  <c r="AH570" i="3"/>
  <c r="AH569" i="3"/>
  <c r="AH553" i="3"/>
  <c r="AH568" i="3"/>
  <c r="AH552" i="3"/>
  <c r="AH559" i="3"/>
  <c r="AH558" i="3"/>
  <c r="AH538" i="3"/>
  <c r="AH530" i="3"/>
  <c r="AH522" i="3"/>
  <c r="AH514" i="3"/>
  <c r="AH506" i="3"/>
  <c r="AH498" i="3"/>
  <c r="AH490" i="3"/>
  <c r="AH482" i="3"/>
  <c r="AH474" i="3"/>
  <c r="AH468" i="3"/>
  <c r="AH464" i="3"/>
  <c r="AH460" i="3"/>
  <c r="AH456" i="3"/>
  <c r="AH452" i="3"/>
  <c r="AH448" i="3"/>
  <c r="AH444" i="3"/>
  <c r="AH440" i="3"/>
  <c r="AH436" i="3"/>
  <c r="AH432" i="3"/>
  <c r="AH428" i="3"/>
  <c r="AH424" i="3"/>
  <c r="AH653" i="3"/>
  <c r="AH649" i="3"/>
  <c r="AH645" i="3"/>
  <c r="AH641" i="3"/>
  <c r="AH637" i="3"/>
  <c r="AH633" i="3"/>
  <c r="AH629" i="3"/>
  <c r="AH625" i="3"/>
  <c r="AH621" i="3"/>
  <c r="AH614" i="3"/>
  <c r="AH609" i="3"/>
  <c r="AH605" i="3"/>
  <c r="AH601" i="3"/>
  <c r="AH597" i="3"/>
  <c r="AH593" i="3"/>
  <c r="AH589" i="3"/>
  <c r="AH585" i="3"/>
  <c r="AH581" i="3"/>
  <c r="AH577" i="3"/>
  <c r="AH573" i="3"/>
  <c r="AH612" i="3"/>
  <c r="AH565" i="3"/>
  <c r="AH549" i="3"/>
  <c r="AH564" i="3"/>
  <c r="AH548" i="3"/>
  <c r="AH551" i="3"/>
  <c r="AH550" i="3"/>
  <c r="AH536" i="3"/>
  <c r="AH528" i="3"/>
  <c r="AH520" i="3"/>
  <c r="AH512" i="3"/>
  <c r="AH504" i="3"/>
  <c r="AH496" i="3"/>
  <c r="AH488" i="3"/>
  <c r="AH480" i="3"/>
  <c r="AH472" i="3"/>
  <c r="AH467" i="3"/>
  <c r="AH463" i="3"/>
  <c r="AH459" i="3"/>
  <c r="AH455" i="3"/>
  <c r="AH451" i="3"/>
  <c r="AH447" i="3"/>
  <c r="AH443" i="3"/>
  <c r="AH439" i="3"/>
  <c r="AH435" i="3"/>
  <c r="AH431" i="3"/>
  <c r="AH427" i="3"/>
  <c r="AH423" i="3"/>
  <c r="AH419" i="3"/>
  <c r="AH415" i="3"/>
  <c r="AH411" i="3"/>
  <c r="AH407" i="3"/>
  <c r="AH403" i="3"/>
  <c r="AH399" i="3"/>
  <c r="AH395" i="3"/>
  <c r="AH391" i="3"/>
  <c r="AH387" i="3"/>
  <c r="AH383" i="3"/>
  <c r="AH379" i="3"/>
  <c r="AH375" i="3"/>
  <c r="AH371" i="3"/>
  <c r="AH367" i="3"/>
  <c r="AH363" i="3"/>
  <c r="AH359" i="3"/>
  <c r="AH355" i="3"/>
  <c r="AH351" i="3"/>
  <c r="AH347" i="3"/>
  <c r="AH343" i="3"/>
  <c r="AH339" i="3"/>
  <c r="AH335" i="3"/>
  <c r="AH331" i="3"/>
  <c r="AH327" i="3"/>
  <c r="AH323" i="3"/>
  <c r="AH319" i="3"/>
  <c r="AH315" i="3"/>
  <c r="AH311" i="3"/>
  <c r="AH307" i="3"/>
  <c r="AH303" i="3"/>
  <c r="AH562" i="3"/>
  <c r="AH533" i="3"/>
  <c r="AH517" i="3"/>
  <c r="AH501" i="3"/>
  <c r="AH485" i="3"/>
  <c r="AH300" i="3"/>
  <c r="AH296" i="3"/>
  <c r="AH499" i="3"/>
  <c r="AH159" i="3"/>
  <c r="AH495" i="3"/>
  <c r="AH527" i="3"/>
  <c r="AH491" i="3"/>
  <c r="AH160" i="3"/>
  <c r="AH164" i="3"/>
  <c r="AH168" i="3"/>
  <c r="AH172" i="3"/>
  <c r="AH176" i="3"/>
  <c r="AH180" i="3"/>
  <c r="AH184" i="3"/>
  <c r="AH187" i="3"/>
  <c r="AH191" i="3"/>
  <c r="AH195" i="3"/>
  <c r="AH199" i="3"/>
  <c r="AH203" i="3"/>
  <c r="AH207" i="3"/>
  <c r="AH211" i="3"/>
  <c r="AH215" i="3"/>
  <c r="AH219" i="3"/>
  <c r="AH223" i="3"/>
  <c r="AH227" i="3"/>
  <c r="AH231" i="3"/>
  <c r="AH235" i="3"/>
  <c r="AH239" i="3"/>
  <c r="AH243" i="3"/>
  <c r="AH247" i="3"/>
  <c r="AH251" i="3"/>
  <c r="AH255" i="3"/>
  <c r="AH259" i="3"/>
  <c r="AH263" i="3"/>
  <c r="AH267" i="3"/>
  <c r="AH271" i="3"/>
  <c r="AH275" i="3"/>
  <c r="AH279" i="3"/>
  <c r="AH283" i="3"/>
  <c r="AH287" i="3"/>
  <c r="AH291" i="3"/>
  <c r="AH297" i="3"/>
  <c r="AH489" i="3"/>
  <c r="AH521" i="3"/>
  <c r="AH555" i="3"/>
  <c r="AH308" i="3"/>
  <c r="AH316" i="3"/>
  <c r="AH324" i="3"/>
  <c r="AH332" i="3"/>
  <c r="AH340" i="3"/>
  <c r="AH348" i="3"/>
  <c r="AH356" i="3"/>
  <c r="AH364" i="3"/>
  <c r="AH372" i="3"/>
  <c r="AH380" i="3"/>
  <c r="AH388" i="3"/>
  <c r="AH396" i="3"/>
  <c r="AH404" i="3"/>
  <c r="AH412" i="3"/>
  <c r="AH420" i="3"/>
  <c r="AH434" i="3"/>
  <c r="AH450" i="3"/>
  <c r="AH466" i="3"/>
  <c r="AH494" i="3"/>
  <c r="AH526" i="3"/>
  <c r="AH544" i="3"/>
  <c r="AH616" i="3"/>
  <c r="AH584" i="3"/>
  <c r="AH600" i="3"/>
  <c r="AH620" i="3"/>
  <c r="AH636" i="3"/>
  <c r="AH652" i="3"/>
  <c r="AH515" i="3"/>
  <c r="AH471" i="3"/>
  <c r="AH503" i="3"/>
  <c r="AH535" i="3"/>
  <c r="AH507" i="3"/>
  <c r="AH161" i="3"/>
  <c r="AH165" i="3"/>
  <c r="AH169" i="3"/>
  <c r="AH173" i="3"/>
  <c r="AH177" i="3"/>
  <c r="AH181" i="3"/>
  <c r="AH185" i="3"/>
  <c r="AH188" i="3"/>
  <c r="AH192" i="3"/>
  <c r="AH196" i="3"/>
  <c r="AH200" i="3"/>
  <c r="AH204" i="3"/>
  <c r="AH208" i="3"/>
  <c r="AH212" i="3"/>
  <c r="AH216" i="3"/>
  <c r="AH220" i="3"/>
  <c r="AH224" i="3"/>
  <c r="AH228" i="3"/>
  <c r="AH232" i="3"/>
  <c r="AH236" i="3"/>
  <c r="AH240" i="3"/>
  <c r="AH244" i="3"/>
  <c r="AH248" i="3"/>
  <c r="AH252" i="3"/>
  <c r="AH256" i="3"/>
  <c r="AH260" i="3"/>
  <c r="AH264" i="3"/>
  <c r="AH268" i="3"/>
  <c r="AH272" i="3"/>
  <c r="AH276" i="3"/>
  <c r="AH280" i="3"/>
  <c r="AH284" i="3"/>
  <c r="AH288" i="3"/>
  <c r="AH292" i="3"/>
  <c r="AH299" i="3"/>
  <c r="AH497" i="3"/>
  <c r="AH529" i="3"/>
  <c r="AH302" i="3"/>
  <c r="AH310" i="3"/>
  <c r="AH318" i="3"/>
  <c r="AH326" i="3"/>
  <c r="AH334" i="3"/>
  <c r="AH342" i="3"/>
  <c r="AH350" i="3"/>
  <c r="AH358" i="3"/>
  <c r="AH366" i="3"/>
  <c r="AH374" i="3"/>
  <c r="AH382" i="3"/>
  <c r="AH390" i="3"/>
  <c r="AH398" i="3"/>
  <c r="AH406" i="3"/>
  <c r="AH414" i="3"/>
  <c r="AH422" i="3"/>
  <c r="AH438" i="3"/>
  <c r="AH454" i="3"/>
  <c r="AH470" i="3"/>
  <c r="AH502" i="3"/>
  <c r="AH534" i="3"/>
  <c r="AH560" i="3"/>
  <c r="AH572" i="3"/>
  <c r="AH588" i="3"/>
  <c r="AH604" i="3"/>
  <c r="AH624" i="3"/>
  <c r="AH640" i="3"/>
  <c r="AH539" i="3"/>
  <c r="AH479" i="3"/>
  <c r="AH511" i="3"/>
  <c r="AH554" i="3"/>
  <c r="AH523" i="3"/>
  <c r="AH162" i="3"/>
  <c r="AH166" i="3"/>
  <c r="AH170" i="3"/>
  <c r="AH174" i="3"/>
  <c r="AH178" i="3"/>
  <c r="AH182" i="3"/>
  <c r="AH186" i="3"/>
  <c r="AH189" i="3"/>
  <c r="AH193" i="3"/>
  <c r="AH197" i="3"/>
  <c r="AH201" i="3"/>
  <c r="AH205" i="3"/>
  <c r="AH209" i="3"/>
  <c r="AH213" i="3"/>
  <c r="AH217" i="3"/>
  <c r="AH221" i="3"/>
  <c r="AH225" i="3"/>
  <c r="AH229" i="3"/>
  <c r="AH233" i="3"/>
  <c r="AH237" i="3"/>
  <c r="AH241" i="3"/>
  <c r="AH245" i="3"/>
  <c r="AH249" i="3"/>
  <c r="AH253" i="3"/>
  <c r="AH257" i="3"/>
  <c r="AH261" i="3"/>
  <c r="AH265" i="3"/>
  <c r="AH269" i="3"/>
  <c r="AH273" i="3"/>
  <c r="AH277" i="3"/>
  <c r="AH281" i="3"/>
  <c r="AH285" i="3"/>
  <c r="AH289" i="3"/>
  <c r="AH293" i="3"/>
  <c r="AH473" i="3"/>
  <c r="AH505" i="3"/>
  <c r="AH537" i="3"/>
  <c r="AH304" i="3"/>
  <c r="AH312" i="3"/>
  <c r="AH320" i="3"/>
  <c r="AH328" i="3"/>
  <c r="AH336" i="3"/>
  <c r="AH344" i="3"/>
  <c r="AH352" i="3"/>
  <c r="AH360" i="3"/>
  <c r="AH368" i="3"/>
  <c r="AH376" i="3"/>
  <c r="AH384" i="3"/>
  <c r="AH392" i="3"/>
  <c r="AH400" i="3"/>
  <c r="AH408" i="3"/>
  <c r="AH416" i="3"/>
  <c r="AH426" i="3"/>
  <c r="AH442" i="3"/>
  <c r="AH458" i="3"/>
  <c r="AH478" i="3"/>
  <c r="AH510" i="3"/>
  <c r="AH542" i="3"/>
  <c r="AH545" i="3"/>
  <c r="AH576" i="3"/>
  <c r="AH592" i="3"/>
  <c r="AH608" i="3"/>
  <c r="AH628" i="3"/>
  <c r="AH644" i="3"/>
  <c r="DS86" i="3" l="1"/>
  <c r="DU86" i="3" s="1"/>
  <c r="S106" i="2"/>
  <c r="AM375" i="3"/>
  <c r="AM407" i="3"/>
  <c r="AM202" i="3"/>
  <c r="AM608" i="3"/>
  <c r="AM652" i="3"/>
  <c r="AM584" i="3"/>
  <c r="AM476" i="3"/>
  <c r="AM508" i="3"/>
  <c r="AM487" i="3"/>
  <c r="AM650" i="3"/>
  <c r="AM600" i="3"/>
  <c r="AM618" i="3"/>
  <c r="AM276" i="3"/>
  <c r="AM449" i="3"/>
  <c r="AM524" i="3"/>
  <c r="AM537" i="3"/>
  <c r="AM350" i="3"/>
  <c r="AM587" i="3"/>
  <c r="AM250" i="3"/>
  <c r="AM369" i="3"/>
  <c r="AM305" i="3"/>
  <c r="AM337" i="3"/>
  <c r="AM471" i="3"/>
  <c r="AM549" i="3"/>
  <c r="AM627" i="3"/>
  <c r="AM400" i="3"/>
  <c r="AM521" i="3"/>
  <c r="AM541" i="3"/>
  <c r="AM540" i="3"/>
  <c r="AM162" i="3"/>
  <c r="AM442" i="3"/>
  <c r="AM185" i="3"/>
  <c r="AM593" i="3"/>
  <c r="AM611" i="3"/>
  <c r="AM210" i="3"/>
  <c r="AM430" i="3"/>
  <c r="AM380" i="3"/>
  <c r="AM351" i="3"/>
  <c r="AM381" i="3"/>
  <c r="AM583" i="3"/>
  <c r="AM226" i="3"/>
  <c r="AM365" i="3"/>
  <c r="AM429" i="3"/>
  <c r="AM569" i="3"/>
  <c r="AM168" i="3"/>
  <c r="AM399" i="3"/>
  <c r="AM547" i="3"/>
  <c r="AM397" i="3"/>
  <c r="AM591" i="3"/>
  <c r="AM483" i="3"/>
  <c r="AM258" i="3"/>
  <c r="AM546" i="3"/>
  <c r="AM362" i="3"/>
  <c r="AM417" i="3"/>
  <c r="AM266" i="3"/>
  <c r="AM234" i="3"/>
  <c r="AM426" i="3"/>
  <c r="AM273" i="3"/>
  <c r="AM244" i="3"/>
  <c r="AM503" i="3"/>
  <c r="AM581" i="3"/>
  <c r="AM520" i="3"/>
  <c r="AM205" i="3"/>
  <c r="AM289" i="3"/>
  <c r="AM604" i="3"/>
  <c r="AM636" i="3"/>
  <c r="AM489" i="3"/>
  <c r="AM355" i="3"/>
  <c r="AM628" i="3"/>
  <c r="AM545" i="3"/>
  <c r="AM458" i="3"/>
  <c r="AM408" i="3"/>
  <c r="AM376" i="3"/>
  <c r="AM344" i="3"/>
  <c r="AM312" i="3"/>
  <c r="AM473" i="3"/>
  <c r="AM281" i="3"/>
  <c r="AM265" i="3"/>
  <c r="AM249" i="3"/>
  <c r="AM233" i="3"/>
  <c r="AM217" i="3"/>
  <c r="AM201" i="3"/>
  <c r="AM186" i="3"/>
  <c r="AM170" i="3"/>
  <c r="AM554" i="3"/>
  <c r="AM572" i="3"/>
  <c r="AM470" i="3"/>
  <c r="AM382" i="3"/>
  <c r="AM318" i="3"/>
  <c r="AM497" i="3"/>
  <c r="AM284" i="3"/>
  <c r="AM268" i="3"/>
  <c r="AM252" i="3"/>
  <c r="AM236" i="3"/>
  <c r="AM220" i="3"/>
  <c r="AM204" i="3"/>
  <c r="AM188" i="3"/>
  <c r="AM173" i="3"/>
  <c r="AM515" i="3"/>
  <c r="AM526" i="3"/>
  <c r="AM434" i="3"/>
  <c r="AM332" i="3"/>
  <c r="AM555" i="3"/>
  <c r="AM291" i="3"/>
  <c r="AM275" i="3"/>
  <c r="AM259" i="3"/>
  <c r="AM243" i="3"/>
  <c r="AM227" i="3"/>
  <c r="AM211" i="3"/>
  <c r="AM195" i="3"/>
  <c r="AM180" i="3"/>
  <c r="AM164" i="3"/>
  <c r="AM495" i="3"/>
  <c r="AM300" i="3"/>
  <c r="AM533" i="3"/>
  <c r="AM311" i="3"/>
  <c r="AM343" i="3"/>
  <c r="AM359" i="3"/>
  <c r="AM573" i="3"/>
  <c r="AM589" i="3"/>
  <c r="AM605" i="3"/>
  <c r="AM625" i="3"/>
  <c r="AM641" i="3"/>
  <c r="AM440" i="3"/>
  <c r="AM538" i="3"/>
  <c r="AM574" i="3"/>
  <c r="AM590" i="3"/>
  <c r="AM606" i="3"/>
  <c r="AM626" i="3"/>
  <c r="AM298" i="3"/>
  <c r="AM525" i="3"/>
  <c r="AM373" i="3"/>
  <c r="AM469" i="3"/>
  <c r="AM603" i="3"/>
  <c r="AM623" i="3"/>
  <c r="AM286" i="3"/>
  <c r="AM531" i="3"/>
  <c r="AM616" i="3"/>
  <c r="AM575" i="3"/>
  <c r="AM563" i="3"/>
  <c r="AM242" i="3"/>
  <c r="AM462" i="3"/>
  <c r="AM475" i="3"/>
  <c r="AM632" i="3"/>
  <c r="AM388" i="3"/>
  <c r="AM379" i="3"/>
  <c r="AM631" i="3"/>
  <c r="AM598" i="3"/>
  <c r="AM613" i="3"/>
  <c r="AM566" i="3"/>
  <c r="AM561" i="3"/>
  <c r="AM448" i="3"/>
  <c r="AM314" i="3"/>
  <c r="AM415" i="3"/>
  <c r="AM596" i="3"/>
  <c r="AM463" i="3"/>
  <c r="AM378" i="3"/>
  <c r="AM219" i="3"/>
  <c r="AM452" i="3"/>
  <c r="AM432" i="3"/>
  <c r="AM218" i="3"/>
  <c r="AM282" i="3"/>
  <c r="AM346" i="3"/>
  <c r="AM519" i="3"/>
  <c r="AM366" i="3"/>
  <c r="AM643" i="3"/>
  <c r="AM484" i="3"/>
  <c r="AM516" i="3"/>
  <c r="AM567" i="3"/>
  <c r="AM389" i="3"/>
  <c r="AM552" i="3"/>
  <c r="AM622" i="3"/>
  <c r="AM498" i="3"/>
  <c r="AM557" i="3"/>
  <c r="AM254" i="3"/>
  <c r="AM317" i="3"/>
  <c r="AM214" i="3"/>
  <c r="AM278" i="3"/>
  <c r="AM200" i="3"/>
  <c r="AM559" i="3"/>
  <c r="AM274" i="3"/>
  <c r="AM612" i="3"/>
  <c r="AM309" i="3"/>
  <c r="AM331" i="3"/>
  <c r="AM530" i="3"/>
  <c r="AM553" i="3"/>
  <c r="AM610" i="3"/>
  <c r="AM297" i="3"/>
  <c r="AM548" i="3"/>
  <c r="AM651" i="3"/>
  <c r="AM179" i="3"/>
  <c r="AM267" i="3"/>
  <c r="AM509" i="3"/>
  <c r="AM435" i="3"/>
  <c r="AM163" i="3"/>
  <c r="AM171" i="3"/>
  <c r="AM614" i="3"/>
  <c r="AM594" i="3"/>
  <c r="AM465" i="3"/>
  <c r="AM263" i="3"/>
  <c r="AM599" i="3"/>
  <c r="AM501" i="3"/>
  <c r="AM634" i="3"/>
  <c r="AM586" i="3"/>
  <c r="AM649" i="3"/>
  <c r="AM347" i="3"/>
  <c r="AM411" i="3"/>
  <c r="AM607" i="3"/>
  <c r="AM295" i="3"/>
  <c r="AM499" i="3"/>
  <c r="AM194" i="3"/>
  <c r="AM542" i="3"/>
  <c r="AM374" i="3"/>
  <c r="AM299" i="3"/>
  <c r="AM169" i="3"/>
  <c r="AM356" i="3"/>
  <c r="AM271" i="3"/>
  <c r="AM207" i="3"/>
  <c r="AM485" i="3"/>
  <c r="AM395" i="3"/>
  <c r="AM512" i="3"/>
  <c r="AM609" i="3"/>
  <c r="AM428" i="3"/>
  <c r="AM482" i="3"/>
  <c r="AM491" i="3"/>
  <c r="AM290" i="3"/>
  <c r="AM528" i="3"/>
  <c r="AM160" i="3"/>
  <c r="AM619" i="3"/>
  <c r="AM182" i="3"/>
  <c r="AM624" i="3"/>
  <c r="AM406" i="3"/>
  <c r="AM310" i="3"/>
  <c r="AM239" i="3"/>
  <c r="AM191" i="3"/>
  <c r="AM315" i="3"/>
  <c r="AM363" i="3"/>
  <c r="AM443" i="3"/>
  <c r="AM480" i="3"/>
  <c r="AM645" i="3"/>
  <c r="AM444" i="3"/>
  <c r="AM477" i="3"/>
  <c r="AM345" i="3"/>
  <c r="AM394" i="3"/>
  <c r="AM478" i="3"/>
  <c r="AM421" i="3"/>
  <c r="AM293" i="3"/>
  <c r="AM229" i="3"/>
  <c r="AM511" i="3"/>
  <c r="AM454" i="3"/>
  <c r="AM342" i="3"/>
  <c r="AM420" i="3"/>
  <c r="AM255" i="3"/>
  <c r="AM223" i="3"/>
  <c r="AM427" i="3"/>
  <c r="AM459" i="3"/>
  <c r="AM629" i="3"/>
  <c r="AM460" i="3"/>
  <c r="AM578" i="3"/>
  <c r="AM630" i="3"/>
  <c r="AM409" i="3"/>
  <c r="AM436" i="3"/>
  <c r="AM510" i="3"/>
  <c r="AM328" i="3"/>
  <c r="AM209" i="3"/>
  <c r="AM479" i="3"/>
  <c r="AM438" i="3"/>
  <c r="AM251" i="3"/>
  <c r="AM187" i="3"/>
  <c r="AM592" i="3"/>
  <c r="AM225" i="3"/>
  <c r="AM398" i="3"/>
  <c r="AM334" i="3"/>
  <c r="AM212" i="3"/>
  <c r="AM316" i="3"/>
  <c r="AM235" i="3"/>
  <c r="AM203" i="3"/>
  <c r="AM172" i="3"/>
  <c r="AM303" i="3"/>
  <c r="AM367" i="3"/>
  <c r="AM383" i="3"/>
  <c r="AM431" i="3"/>
  <c r="AM447" i="3"/>
  <c r="AM488" i="3"/>
  <c r="AM551" i="3"/>
  <c r="AM565" i="3"/>
  <c r="AM597" i="3"/>
  <c r="AM493" i="3"/>
  <c r="AM301" i="3"/>
  <c r="AM333" i="3"/>
  <c r="AM349" i="3"/>
  <c r="AM416" i="3"/>
  <c r="AM352" i="3"/>
  <c r="AM320" i="3"/>
  <c r="AM505" i="3"/>
  <c r="AM285" i="3"/>
  <c r="AM269" i="3"/>
  <c r="AM237" i="3"/>
  <c r="AM221" i="3"/>
  <c r="AM174" i="3"/>
  <c r="AM539" i="3"/>
  <c r="AM588" i="3"/>
  <c r="AM502" i="3"/>
  <c r="AM422" i="3"/>
  <c r="AM390" i="3"/>
  <c r="AM358" i="3"/>
  <c r="AM326" i="3"/>
  <c r="AM288" i="3"/>
  <c r="AM256" i="3"/>
  <c r="AM224" i="3"/>
  <c r="AM192" i="3"/>
  <c r="AM161" i="3"/>
  <c r="AM620" i="3"/>
  <c r="AM544" i="3"/>
  <c r="AM372" i="3"/>
  <c r="AM199" i="3"/>
  <c r="AM184" i="3"/>
  <c r="AM517" i="3"/>
  <c r="AM323" i="3"/>
  <c r="AM387" i="3"/>
  <c r="AM467" i="3"/>
  <c r="AM404" i="3"/>
  <c r="AM527" i="3"/>
  <c r="AM296" i="3"/>
  <c r="AM570" i="3"/>
  <c r="AM640" i="3"/>
  <c r="AM507" i="3"/>
  <c r="AM396" i="3"/>
  <c r="AM439" i="3"/>
  <c r="AM455" i="3"/>
  <c r="AM474" i="3"/>
  <c r="AM325" i="3"/>
  <c r="AM341" i="3"/>
  <c r="AM357" i="3"/>
  <c r="AM437" i="3"/>
  <c r="AM453" i="3"/>
  <c r="AM556" i="3"/>
  <c r="AM543" i="3"/>
  <c r="AM648" i="3"/>
  <c r="AM330" i="3"/>
  <c r="AM322" i="3"/>
  <c r="AM468" i="3"/>
  <c r="AM175" i="3"/>
  <c r="AM283" i="3"/>
  <c r="AM410" i="3"/>
  <c r="AM264" i="3"/>
  <c r="AM232" i="3"/>
  <c r="AM287" i="3"/>
  <c r="AM159" i="3"/>
  <c r="AM550" i="3"/>
  <c r="AM577" i="3"/>
  <c r="AM313" i="3"/>
  <c r="AM496" i="3"/>
  <c r="AM405" i="3"/>
  <c r="AM340" i="3"/>
  <c r="AM536" i="3"/>
  <c r="AM639" i="3"/>
  <c r="AM262" i="3"/>
  <c r="AM198" i="3"/>
  <c r="AM222" i="3"/>
  <c r="AM617" i="3"/>
  <c r="AM457" i="3"/>
  <c r="AM361" i="3"/>
  <c r="AM246" i="3"/>
  <c r="AM364" i="3"/>
  <c r="AM472" i="3"/>
  <c r="AM642" i="3"/>
  <c r="AM500" i="3"/>
  <c r="AM338" i="3"/>
  <c r="AM522" i="3"/>
  <c r="AM494" i="3"/>
  <c r="AM564" i="3"/>
  <c r="AM319" i="3"/>
  <c r="AM450" i="3"/>
  <c r="AM386" i="3"/>
  <c r="AM280" i="3"/>
  <c r="AM216" i="3"/>
  <c r="AM464" i="3"/>
  <c r="AM571" i="3"/>
  <c r="AM506" i="3"/>
  <c r="AM401" i="3"/>
  <c r="AM327" i="3"/>
  <c r="AM414" i="3"/>
  <c r="AM190" i="3"/>
  <c r="AM456" i="3"/>
  <c r="AM247" i="3"/>
  <c r="AM653" i="3"/>
  <c r="AM534" i="3"/>
  <c r="AM560" i="3"/>
  <c r="AM391" i="3"/>
  <c r="AM238" i="3"/>
  <c r="AM424" i="3"/>
  <c r="AM231" i="3"/>
  <c r="AM635" i="3"/>
  <c r="AM580" i="3"/>
  <c r="AM532" i="3"/>
  <c r="AM504" i="3"/>
  <c r="AM423" i="3"/>
  <c r="AM377" i="3"/>
  <c r="AM335" i="3"/>
  <c r="AM595" i="3"/>
  <c r="AM292" i="3"/>
  <c r="AM260" i="3"/>
  <c r="AM228" i="3"/>
  <c r="AM196" i="3"/>
  <c r="AM279" i="3"/>
  <c r="AM215" i="3"/>
  <c r="AM165" i="3"/>
  <c r="AM384" i="3"/>
  <c r="AM461" i="3"/>
  <c r="AM167" i="3"/>
  <c r="AM230" i="3"/>
  <c r="AM294" i="3"/>
  <c r="AM272" i="3"/>
  <c r="AM490" i="3"/>
  <c r="AM413" i="3"/>
  <c r="AM486" i="3"/>
  <c r="AM576" i="3"/>
  <c r="AM321" i="3"/>
  <c r="AM353" i="3"/>
  <c r="AM385" i="3"/>
  <c r="AM433" i="3"/>
  <c r="AM523" i="3"/>
  <c r="AM518" i="3"/>
  <c r="AM370" i="3"/>
  <c r="AM402" i="3"/>
  <c r="AM418" i="3"/>
  <c r="AM466" i="3"/>
  <c r="AM585" i="3"/>
  <c r="AM601" i="3"/>
  <c r="AM637" i="3"/>
  <c r="AM646" i="3"/>
  <c r="AM412" i="3"/>
  <c r="AM579" i="3"/>
  <c r="AM307" i="3"/>
  <c r="AM339" i="3"/>
  <c r="AM371" i="3"/>
  <c r="AM403" i="3"/>
  <c r="AM441" i="3"/>
  <c r="AM562" i="3"/>
  <c r="AM638" i="3"/>
  <c r="AM492" i="3"/>
  <c r="AM514" i="3"/>
  <c r="AM535" i="3"/>
  <c r="AM419" i="3"/>
  <c r="AM451" i="3"/>
  <c r="AM568" i="3"/>
  <c r="AM481" i="3"/>
  <c r="AM513" i="3"/>
  <c r="AM582" i="3"/>
  <c r="AM647" i="3"/>
  <c r="AM621" i="3"/>
  <c r="AM644" i="3"/>
  <c r="AM602" i="3"/>
  <c r="AM615" i="3"/>
  <c r="AM633" i="3"/>
  <c r="AM329" i="3"/>
  <c r="AM425" i="3"/>
  <c r="AM446" i="3"/>
  <c r="AM183" i="3"/>
  <c r="AM354" i="3"/>
  <c r="AM270" i="3"/>
  <c r="AM206" i="3"/>
  <c r="AM445" i="3"/>
  <c r="AM393" i="3"/>
  <c r="AM306" i="3"/>
  <c r="AM240" i="3"/>
  <c r="AM208" i="3"/>
  <c r="AM308" i="3"/>
  <c r="AM558" i="3"/>
  <c r="AM178" i="3"/>
  <c r="AM348" i="3"/>
  <c r="AM177" i="3"/>
  <c r="AM248" i="3"/>
  <c r="AM368" i="3"/>
  <c r="AM336" i="3"/>
  <c r="AM277" i="3"/>
  <c r="AM245" i="3"/>
  <c r="AM197" i="3"/>
  <c r="AM166" i="3"/>
  <c r="AM324" i="3"/>
  <c r="AM176" i="3"/>
  <c r="AM392" i="3"/>
  <c r="AM360" i="3"/>
  <c r="AM257" i="3"/>
  <c r="AM241" i="3"/>
  <c r="AM193" i="3"/>
  <c r="AM302" i="3"/>
  <c r="AM181" i="3"/>
  <c r="AM304" i="3"/>
  <c r="AM261" i="3"/>
  <c r="AM213" i="3"/>
  <c r="AM253" i="3"/>
  <c r="AM189" i="3"/>
  <c r="AM529" i="3"/>
  <c r="W655" i="3" l="1"/>
  <c r="X655" i="3"/>
  <c r="S655" i="3"/>
  <c r="V655" i="3"/>
  <c r="U655" i="3"/>
  <c r="T655" i="3"/>
  <c r="Y655" i="3"/>
  <c r="R655" i="3"/>
  <c r="W659" i="3" l="1"/>
  <c r="W662" i="3"/>
  <c r="W665" i="3"/>
  <c r="W663" i="3"/>
  <c r="W664" i="3"/>
  <c r="W658" i="3"/>
  <c r="W660" i="3"/>
  <c r="W661" i="3"/>
  <c r="E684" i="3" l="1"/>
  <c r="M84" i="2" s="1"/>
  <c r="DS95" i="3" s="1"/>
  <c r="DU95" i="3" s="1"/>
  <c r="E679" i="3"/>
  <c r="M86" i="2" s="1"/>
  <c r="E674" i="3"/>
  <c r="M89" i="2" s="1"/>
  <c r="E676" i="3"/>
  <c r="M85" i="2" s="1"/>
  <c r="DS96" i="3" s="1"/>
  <c r="DU96" i="3" s="1"/>
  <c r="E677" i="3"/>
  <c r="M78" i="2" s="1"/>
  <c r="DS89" i="3" s="1"/>
  <c r="DU89" i="3" s="1"/>
  <c r="E681" i="3"/>
  <c r="M81" i="2" s="1"/>
  <c r="E683" i="3"/>
  <c r="M91" i="2" s="1"/>
  <c r="E673" i="3"/>
  <c r="M83" i="2" s="1"/>
  <c r="H96" i="2" l="1"/>
  <c r="DS94" i="3"/>
  <c r="DU94" i="3" s="1"/>
  <c r="M100" i="2"/>
  <c r="DS102" i="3"/>
  <c r="DU102" i="3" s="1"/>
  <c r="H100" i="2"/>
  <c r="DS79" i="3" s="1"/>
  <c r="DU79" i="3" s="1"/>
  <c r="DS100" i="3"/>
  <c r="DU100" i="3" s="1"/>
  <c r="M93" i="2"/>
  <c r="DS104" i="3" s="1"/>
  <c r="DU104" i="3" s="1"/>
  <c r="DS92" i="3"/>
  <c r="DU92" i="3" s="1"/>
  <c r="M98" i="2"/>
  <c r="DS109" i="3" s="1"/>
  <c r="DU109" i="3" s="1"/>
  <c r="DS97" i="3"/>
  <c r="DU97" i="3" s="1"/>
  <c r="M104" i="2" l="1"/>
  <c r="DS115" i="3" s="1"/>
  <c r="DU115" i="3" s="1"/>
  <c r="DS111" i="3"/>
  <c r="DU111" i="3" s="1"/>
  <c r="M103" i="2"/>
  <c r="DS75" i="3"/>
  <c r="DU75" i="3" s="1"/>
  <c r="H106" i="2" l="1"/>
  <c r="DS114" i="3"/>
  <c r="DU114" i="3" s="1"/>
  <c r="M108" i="2" l="1"/>
  <c r="S102" i="2" s="1"/>
  <c r="DS85" i="3"/>
  <c r="DU85" i="3" s="1"/>
  <c r="S95" i="2" l="1"/>
  <c r="DS119" i="3"/>
  <c r="DU119" i="3" s="1"/>
</calcChain>
</file>

<file path=xl/sharedStrings.xml><?xml version="1.0" encoding="utf-8"?>
<sst xmlns="http://schemas.openxmlformats.org/spreadsheetml/2006/main" count="9872" uniqueCount="1172">
  <si>
    <t>SETUP</t>
  </si>
  <si>
    <t>English</t>
  </si>
  <si>
    <t>Fair Play Points</t>
  </si>
  <si>
    <t>MY LANGUAGE</t>
  </si>
  <si>
    <t>Original Language (English)</t>
  </si>
  <si>
    <t>Your Language Translation</t>
  </si>
  <si>
    <t></t>
  </si>
  <si>
    <t>Language</t>
  </si>
  <si>
    <t>Timezone</t>
  </si>
  <si>
    <t>Group Stages</t>
  </si>
  <si>
    <t>Matches</t>
  </si>
  <si>
    <t>Standings</t>
  </si>
  <si>
    <t>Group</t>
  </si>
  <si>
    <t>Date</t>
  </si>
  <si>
    <t>Country</t>
  </si>
  <si>
    <t>Score</t>
  </si>
  <si>
    <t>Time</t>
  </si>
  <si>
    <t>Round of 16</t>
  </si>
  <si>
    <t>Quarter Finals</t>
  </si>
  <si>
    <t>Semi Finals</t>
  </si>
  <si>
    <t>Third Place</t>
  </si>
  <si>
    <t>Final</t>
  </si>
  <si>
    <t>Winner</t>
  </si>
  <si>
    <t>Runner Up</t>
  </si>
  <si>
    <t>Normal Time</t>
  </si>
  <si>
    <t>Penalty Shoot Out</t>
  </si>
  <si>
    <t>Champion</t>
  </si>
  <si>
    <t>Match #</t>
  </si>
  <si>
    <t>Group A Winner</t>
  </si>
  <si>
    <t>Group B Winner</t>
  </si>
  <si>
    <t>Group C Winner</t>
  </si>
  <si>
    <t>Group D Winner</t>
  </si>
  <si>
    <t>Group E Winner</t>
  </si>
  <si>
    <t>Group F Winner</t>
  </si>
  <si>
    <t>Group G Winner</t>
  </si>
  <si>
    <t>Group H Winner</t>
  </si>
  <si>
    <t>Group A Runner Up</t>
  </si>
  <si>
    <t>Group B Runner Up</t>
  </si>
  <si>
    <t>Group C Runner Up</t>
  </si>
  <si>
    <t>Group D Runner Up</t>
  </si>
  <si>
    <t>Group E Runner Up</t>
  </si>
  <si>
    <t>Group F Runner Up</t>
  </si>
  <si>
    <t>Group G Runner Up</t>
  </si>
  <si>
    <t>Group H Runner Up</t>
  </si>
  <si>
    <t>Played</t>
  </si>
  <si>
    <t>Win</t>
  </si>
  <si>
    <t>Draw</t>
  </si>
  <si>
    <t>Lose</t>
  </si>
  <si>
    <t>Goal scored for</t>
  </si>
  <si>
    <t>Goal scored against</t>
  </si>
  <si>
    <t>Point</t>
  </si>
  <si>
    <t>Second place</t>
  </si>
  <si>
    <t>Group A</t>
  </si>
  <si>
    <t>Group B</t>
  </si>
  <si>
    <t>Group C</t>
  </si>
  <si>
    <t>Group D</t>
  </si>
  <si>
    <t>Group E</t>
  </si>
  <si>
    <t>Group F</t>
  </si>
  <si>
    <t>Group G</t>
  </si>
  <si>
    <t>Group H</t>
  </si>
  <si>
    <t>Match 49 Winner</t>
  </si>
  <si>
    <t>Match 50 Winner</t>
  </si>
  <si>
    <t>Match 51 Winner</t>
  </si>
  <si>
    <t>Match 52 Winner</t>
  </si>
  <si>
    <t>Match 61 Loser</t>
  </si>
  <si>
    <t>Match 62 Loser</t>
  </si>
  <si>
    <t>Venue</t>
  </si>
  <si>
    <t>P</t>
  </si>
  <si>
    <t>W</t>
  </si>
  <si>
    <t>D</t>
  </si>
  <si>
    <t>L</t>
  </si>
  <si>
    <t>Pt</t>
  </si>
  <si>
    <t>A</t>
  </si>
  <si>
    <t>B</t>
  </si>
  <si>
    <t>C</t>
  </si>
  <si>
    <t>F</t>
  </si>
  <si>
    <t>E</t>
  </si>
  <si>
    <t>G</t>
  </si>
  <si>
    <t>H</t>
  </si>
  <si>
    <t>Notes :</t>
  </si>
  <si>
    <t>●</t>
  </si>
  <si>
    <t>Pairing teams in Knock Out rounds will be placed automatically</t>
  </si>
  <si>
    <t>Color meaning :</t>
  </si>
  <si>
    <t>Team Name</t>
  </si>
  <si>
    <t>+0.5</t>
  </si>
  <si>
    <t>+1</t>
  </si>
  <si>
    <t>+1.5</t>
  </si>
  <si>
    <t>+2</t>
  </si>
  <si>
    <t>+2.5</t>
  </si>
  <si>
    <t>+3</t>
  </si>
  <si>
    <t>+3.5</t>
  </si>
  <si>
    <t>+4</t>
  </si>
  <si>
    <t>+4.5</t>
  </si>
  <si>
    <t>+5</t>
  </si>
  <si>
    <t>+5.5</t>
  </si>
  <si>
    <t>+6</t>
  </si>
  <si>
    <t>+6.5</t>
  </si>
  <si>
    <t>+7</t>
  </si>
  <si>
    <t>+7.5</t>
  </si>
  <si>
    <t>+8</t>
  </si>
  <si>
    <t>+8.5</t>
  </si>
  <si>
    <t>+9</t>
  </si>
  <si>
    <t>+9.5</t>
  </si>
  <si>
    <t>+10</t>
  </si>
  <si>
    <t>+10.5</t>
  </si>
  <si>
    <t>+11</t>
  </si>
  <si>
    <t>+11.5</t>
  </si>
  <si>
    <t>+12</t>
  </si>
  <si>
    <t>:</t>
  </si>
  <si>
    <t>French</t>
  </si>
  <si>
    <t>German/Deutsch</t>
  </si>
  <si>
    <t>Italian</t>
  </si>
  <si>
    <t>Portuguese</t>
  </si>
  <si>
    <t>Spanish</t>
  </si>
  <si>
    <t>Langue</t>
  </si>
  <si>
    <t>Sprache</t>
  </si>
  <si>
    <t>Linguaggio</t>
  </si>
  <si>
    <t>Idioma</t>
  </si>
  <si>
    <t>Fuseau horaire</t>
  </si>
  <si>
    <t>Zeitzone</t>
  </si>
  <si>
    <t>Fuso orario</t>
  </si>
  <si>
    <t>Fuso Horário</t>
  </si>
  <si>
    <t>Zona Horaria</t>
  </si>
  <si>
    <t>Phases de poules</t>
  </si>
  <si>
    <t>Gruppenphase</t>
  </si>
  <si>
    <t>Fase a gruppi</t>
  </si>
  <si>
    <t>Fase de Grupos</t>
  </si>
  <si>
    <t>Fase de grupos</t>
  </si>
  <si>
    <t>Rencontres</t>
  </si>
  <si>
    <t>Spiele</t>
  </si>
  <si>
    <t>Partite</t>
  </si>
  <si>
    <t>Jogos</t>
  </si>
  <si>
    <t>Partidos</t>
  </si>
  <si>
    <t>Classements</t>
  </si>
  <si>
    <t>Tabellen</t>
  </si>
  <si>
    <t>Classifica</t>
  </si>
  <si>
    <t>Classificações</t>
  </si>
  <si>
    <t>Clasificación</t>
  </si>
  <si>
    <t>Groupe</t>
  </si>
  <si>
    <t>Gruppe</t>
  </si>
  <si>
    <t>Gruppo</t>
  </si>
  <si>
    <t>Grupo</t>
  </si>
  <si>
    <t>Datum</t>
  </si>
  <si>
    <t>Data</t>
  </si>
  <si>
    <t>Fecha</t>
  </si>
  <si>
    <t>Pays</t>
  </si>
  <si>
    <t>Land</t>
  </si>
  <si>
    <t>Nazione</t>
  </si>
  <si>
    <t>País</t>
  </si>
  <si>
    <t>Ergebnis</t>
  </si>
  <si>
    <t>Risultato</t>
  </si>
  <si>
    <t>Resultado</t>
  </si>
  <si>
    <t>Heure</t>
  </si>
  <si>
    <t>Uhrzeit</t>
  </si>
  <si>
    <t>Ora</t>
  </si>
  <si>
    <t>Tempo</t>
  </si>
  <si>
    <t>Hora</t>
  </si>
  <si>
    <t xml:space="preserve">Huitièmes de finale </t>
  </si>
  <si>
    <t>Achtelfinale</t>
  </si>
  <si>
    <t>Ottavi di finale</t>
  </si>
  <si>
    <t>Oitavos de Final</t>
  </si>
  <si>
    <t>Octavos de final</t>
  </si>
  <si>
    <t>Quarts de finale</t>
  </si>
  <si>
    <t>Viertelfinale</t>
  </si>
  <si>
    <t>Quarti di finale</t>
  </si>
  <si>
    <t>Quartos de Final</t>
  </si>
  <si>
    <t>Cuartos de final</t>
  </si>
  <si>
    <t>Demi-finales</t>
  </si>
  <si>
    <t>Halbfinale</t>
  </si>
  <si>
    <t>Semifinale</t>
  </si>
  <si>
    <t>Meias Finais</t>
  </si>
  <si>
    <t>Semifinales</t>
  </si>
  <si>
    <t>Finale</t>
  </si>
  <si>
    <t>Gagnant</t>
  </si>
  <si>
    <t>Sieger</t>
  </si>
  <si>
    <t>Vincitore</t>
  </si>
  <si>
    <t>Vencedor</t>
  </si>
  <si>
    <t>Ganador</t>
  </si>
  <si>
    <t>Second</t>
  </si>
  <si>
    <t>Zweiter</t>
  </si>
  <si>
    <t>Qualificato</t>
  </si>
  <si>
    <t>Vencido</t>
  </si>
  <si>
    <t>Subcampeón</t>
  </si>
  <si>
    <t>Temps réglementaire</t>
  </si>
  <si>
    <t>Reguläre Spielzeit</t>
  </si>
  <si>
    <t>Tempo regolamentare</t>
  </si>
  <si>
    <t>Tempo Regulamentar</t>
  </si>
  <si>
    <t>90 minutos</t>
  </si>
  <si>
    <t>Tirs au but</t>
  </si>
  <si>
    <t>Elfmeterschießen</t>
  </si>
  <si>
    <t>Rigori</t>
  </si>
  <si>
    <t>Penáltis</t>
  </si>
  <si>
    <t>Penaltys</t>
  </si>
  <si>
    <t>Meister</t>
  </si>
  <si>
    <t>Campione</t>
  </si>
  <si>
    <t>Campeão</t>
  </si>
  <si>
    <t>Campeón</t>
  </si>
  <si>
    <t>Spiel #</t>
  </si>
  <si>
    <t>Partita n°</t>
  </si>
  <si>
    <t>Jogo #</t>
  </si>
  <si>
    <t>Partido #</t>
  </si>
  <si>
    <t>Groupe A Vainqueur</t>
  </si>
  <si>
    <t>Sieger Gruppe A</t>
  </si>
  <si>
    <t>Vincitore gruppo A</t>
  </si>
  <si>
    <t>Vencedor Grupo A</t>
  </si>
  <si>
    <t>Primero Grupo A</t>
  </si>
  <si>
    <t>Groupe B Vainqueur</t>
  </si>
  <si>
    <t>Sieger Gruppe B</t>
  </si>
  <si>
    <t>Vincitore gruppo B</t>
  </si>
  <si>
    <t>Vencedor Grupo B</t>
  </si>
  <si>
    <t>Primero Grupo B</t>
  </si>
  <si>
    <t>Groupe C Vainqueur</t>
  </si>
  <si>
    <t>Sieger Gruppe C</t>
  </si>
  <si>
    <t>Vincitore gruppo C</t>
  </si>
  <si>
    <t>Vencedor Grupo C</t>
  </si>
  <si>
    <t>Primero Grupo C</t>
  </si>
  <si>
    <t>Groupe D Vainqueur</t>
  </si>
  <si>
    <t>Sieger Gruppe D</t>
  </si>
  <si>
    <t>Vincitore gruppo D</t>
  </si>
  <si>
    <t>Vencedor Grupo D</t>
  </si>
  <si>
    <t>Primero Grupo D</t>
  </si>
  <si>
    <t>Groupe E Vainqueur</t>
  </si>
  <si>
    <t>Sieger Gruppe E</t>
  </si>
  <si>
    <t>Vincitore gruppo E</t>
  </si>
  <si>
    <t>Vencedor Grupo E</t>
  </si>
  <si>
    <t>Primero Grupo E</t>
  </si>
  <si>
    <t>Groupe F Vainqueur</t>
  </si>
  <si>
    <t>Sieger Gruppe F</t>
  </si>
  <si>
    <t>Vincitore gruppo F</t>
  </si>
  <si>
    <t>Vencedor Grupo F</t>
  </si>
  <si>
    <t>Primero Grupo F</t>
  </si>
  <si>
    <t>Groupe G Vainqueur</t>
  </si>
  <si>
    <t>Sieger Gruppe G</t>
  </si>
  <si>
    <t>Vincitore gruppo G</t>
  </si>
  <si>
    <t>Vencedor Grupo G</t>
  </si>
  <si>
    <t>Primero Grupo G</t>
  </si>
  <si>
    <t>Groupe H Vainqueur</t>
  </si>
  <si>
    <t>Sieger Gruppe H</t>
  </si>
  <si>
    <t>Vincitore gruppo H</t>
  </si>
  <si>
    <t>Vencedor Grupo H</t>
  </si>
  <si>
    <t>Primero Grupo H</t>
  </si>
  <si>
    <t>Second Groupe A</t>
  </si>
  <si>
    <t>Zweiter Gruppe A</t>
  </si>
  <si>
    <t>Seconda gruppo A</t>
  </si>
  <si>
    <t>2º Classificado Grupo A</t>
  </si>
  <si>
    <t>Segundo Grupo A</t>
  </si>
  <si>
    <t>Second Groupe B</t>
  </si>
  <si>
    <t>Zweiter Gruppe B</t>
  </si>
  <si>
    <t>Seconda gruppo B</t>
  </si>
  <si>
    <t>2º Classificado Grupo B</t>
  </si>
  <si>
    <t>Segundo Grupo B</t>
  </si>
  <si>
    <t>Second Groupe C</t>
  </si>
  <si>
    <t>Zweiter Gruppe C</t>
  </si>
  <si>
    <t>Seconda gruppo C</t>
  </si>
  <si>
    <t>2º Classificado Grupo C</t>
  </si>
  <si>
    <t>Segundo Grupo C</t>
  </si>
  <si>
    <t>Second Groupe D</t>
  </si>
  <si>
    <t>Zweiter Gruppe D</t>
  </si>
  <si>
    <t>Seconda gruppo D</t>
  </si>
  <si>
    <t>2º Classificado Grupo D</t>
  </si>
  <si>
    <t>Segundo Grupo D</t>
  </si>
  <si>
    <t>Second Groupe E</t>
  </si>
  <si>
    <t>Zweiter Gruppe E</t>
  </si>
  <si>
    <t>Seconda gruppo E</t>
  </si>
  <si>
    <t>2º Classificado Grupo E</t>
  </si>
  <si>
    <t>Segundo Grupo E</t>
  </si>
  <si>
    <t>Second Groupe F</t>
  </si>
  <si>
    <t>Zweiter Gruppe F</t>
  </si>
  <si>
    <t>Seconda gruppo F</t>
  </si>
  <si>
    <t>2º Classificado Grupo F</t>
  </si>
  <si>
    <t>Segundo Grupo F</t>
  </si>
  <si>
    <t>Second Groupe G</t>
  </si>
  <si>
    <t>Zweiter Gruppe G</t>
  </si>
  <si>
    <t>Seconda gruppo G</t>
  </si>
  <si>
    <t>2º Classificado Grupo G</t>
  </si>
  <si>
    <t>Segundo Grupo G</t>
  </si>
  <si>
    <t>Second Groupe H</t>
  </si>
  <si>
    <t>Zweiter Gruppe H</t>
  </si>
  <si>
    <t>Seconda gruppo H</t>
  </si>
  <si>
    <t>2º Classificado Grupo H</t>
  </si>
  <si>
    <t>Segundo Grupo H</t>
  </si>
  <si>
    <t xml:space="preserve">Joué </t>
  </si>
  <si>
    <t>Giocate</t>
  </si>
  <si>
    <t>Jugados</t>
  </si>
  <si>
    <t>Gagné</t>
  </si>
  <si>
    <t>Gewonnen</t>
  </si>
  <si>
    <t>Vinte</t>
  </si>
  <si>
    <t>Vitórias</t>
  </si>
  <si>
    <t>Ganados</t>
  </si>
  <si>
    <t>Nul</t>
  </si>
  <si>
    <t>Unentschieden</t>
  </si>
  <si>
    <t>Pareggiate</t>
  </si>
  <si>
    <t>Empates</t>
  </si>
  <si>
    <t>Empatados</t>
  </si>
  <si>
    <t>Perdu</t>
  </si>
  <si>
    <t>Verloren</t>
  </si>
  <si>
    <t>Perse</t>
  </si>
  <si>
    <t>Derrotas</t>
  </si>
  <si>
    <t>Perdidos</t>
  </si>
  <si>
    <t>But pour</t>
  </si>
  <si>
    <t>Tore</t>
  </si>
  <si>
    <t>Goal segnati</t>
  </si>
  <si>
    <t>Golos Marcados</t>
  </si>
  <si>
    <t>Goles a favor</t>
  </si>
  <si>
    <t>But contre</t>
  </si>
  <si>
    <t>Gegentore</t>
  </si>
  <si>
    <t>Goal subiti</t>
  </si>
  <si>
    <t>Golos Sofridos</t>
  </si>
  <si>
    <t>Goles en contra</t>
  </si>
  <si>
    <t>Punkte</t>
  </si>
  <si>
    <t>Punti</t>
  </si>
  <si>
    <t>Pontos</t>
  </si>
  <si>
    <t>Puntos</t>
  </si>
  <si>
    <t>Deuxième place</t>
  </si>
  <si>
    <t>Zweiter Platz</t>
  </si>
  <si>
    <t>Secondo posto</t>
  </si>
  <si>
    <t>Segundo Lugar</t>
  </si>
  <si>
    <t>Segunda puesto</t>
  </si>
  <si>
    <t>Groupe A</t>
  </si>
  <si>
    <t>Gruppe A</t>
  </si>
  <si>
    <t>Gruppo A</t>
  </si>
  <si>
    <t>Grupo A</t>
  </si>
  <si>
    <t>Groupe B</t>
  </si>
  <si>
    <t>Gruppe B</t>
  </si>
  <si>
    <t>Gruppo B</t>
  </si>
  <si>
    <t>Grupo B</t>
  </si>
  <si>
    <t>Groupe C</t>
  </si>
  <si>
    <t>Gruppe C</t>
  </si>
  <si>
    <t>Gruppo C</t>
  </si>
  <si>
    <t>Grupo C</t>
  </si>
  <si>
    <t>Groupe D</t>
  </si>
  <si>
    <t>Gruppe D</t>
  </si>
  <si>
    <t>Gruppo D</t>
  </si>
  <si>
    <t>Grupo D</t>
  </si>
  <si>
    <t>Groupe E</t>
  </si>
  <si>
    <t>Gruppe E</t>
  </si>
  <si>
    <t>Gruppo E</t>
  </si>
  <si>
    <t>Grupo E</t>
  </si>
  <si>
    <t>Groupe F</t>
  </si>
  <si>
    <t>Gruppe F</t>
  </si>
  <si>
    <t>Gruppo F</t>
  </si>
  <si>
    <t>Grupo F</t>
  </si>
  <si>
    <t>Groupe G</t>
  </si>
  <si>
    <t>Gruppe G</t>
  </si>
  <si>
    <t>Gruppo G</t>
  </si>
  <si>
    <t>Grupo G</t>
  </si>
  <si>
    <t>Groupe H</t>
  </si>
  <si>
    <t>Gruppe H</t>
  </si>
  <si>
    <t>Gruppo H</t>
  </si>
  <si>
    <t>Grupo H</t>
  </si>
  <si>
    <t>Match 49 Vainqueur</t>
  </si>
  <si>
    <t>Sieger Spiel 49</t>
  </si>
  <si>
    <t>Vincitore partita 49</t>
  </si>
  <si>
    <t>Vencedor Jogo 49</t>
  </si>
  <si>
    <t>Ganador partido 49</t>
  </si>
  <si>
    <t>Match 50 Vainqueur</t>
  </si>
  <si>
    <t>Sieger Spiel 50</t>
  </si>
  <si>
    <t>Vincitore partita 50</t>
  </si>
  <si>
    <t>Vencedor Jogo 50</t>
  </si>
  <si>
    <t>Ganador partido 50</t>
  </si>
  <si>
    <t>Match 51 Vainqueur</t>
  </si>
  <si>
    <t>Sieger Spiel 51</t>
  </si>
  <si>
    <t>Vincitore partita 51</t>
  </si>
  <si>
    <t>Vencedor Jogo 51</t>
  </si>
  <si>
    <t>Ganador partido 51</t>
  </si>
  <si>
    <t>Match 52 Vainqueur</t>
  </si>
  <si>
    <t>Sieger Spiel 52</t>
  </si>
  <si>
    <t>Vincitore partita 52</t>
  </si>
  <si>
    <t>Vencedor Jogo 52</t>
  </si>
  <si>
    <t>Ganador partido 52</t>
  </si>
  <si>
    <t>Match 61 Perdant</t>
  </si>
  <si>
    <t>Verlierer Spiel 61</t>
  </si>
  <si>
    <t>Perdente partita 61</t>
  </si>
  <si>
    <t>Derrotado Jogo 61</t>
  </si>
  <si>
    <t>Perdedor partido 61</t>
  </si>
  <si>
    <t>Match 62 Perdant</t>
  </si>
  <si>
    <t>Verlierer Spiel 62</t>
  </si>
  <si>
    <t>Perdente partita 62</t>
  </si>
  <si>
    <t>Derrotado Jogo 62</t>
  </si>
  <si>
    <t>Perdedor partido 62</t>
  </si>
  <si>
    <t>Lieu</t>
  </si>
  <si>
    <t>Veranstaltungsort</t>
  </si>
  <si>
    <t>Luogo</t>
  </si>
  <si>
    <t>Local</t>
  </si>
  <si>
    <t>Evento</t>
  </si>
  <si>
    <t>Programme et Feuille de match de la Coupe du Monde 2022</t>
  </si>
  <si>
    <t>Weltmeisterschaft 2022 Spielplan und Ergebnisse</t>
  </si>
  <si>
    <t>Coppa del Mondo 2022 programma e risultati</t>
  </si>
  <si>
    <t>Campeonato Mundial 2022 Horários e Resultados</t>
  </si>
  <si>
    <t>Copa del Mundo de 2022, Horario y Puntuaciones</t>
  </si>
  <si>
    <t xml:space="preserve">Champion Coupe du Monde 2022 </t>
  </si>
  <si>
    <t>Weltmeister 2022</t>
  </si>
  <si>
    <t>Campione del Mondo 2022</t>
  </si>
  <si>
    <t>Campeão Mundial 2022</t>
  </si>
  <si>
    <t>Campeón de la Copa del Mundo 2022</t>
  </si>
  <si>
    <t>Won in Group Stages</t>
  </si>
  <si>
    <t>Lose in Group and KO Stages</t>
  </si>
  <si>
    <t>Won by KO Rounds</t>
  </si>
  <si>
    <t>Original</t>
  </si>
  <si>
    <t>Language ►</t>
  </si>
  <si>
    <t>Custom Language Translation Title ►</t>
  </si>
  <si>
    <t>◄</t>
  </si>
  <si>
    <t>Do not forget to select your Custom Language translation title in cell C5 to translate matches worksheet to your language after you filling all translation rows in column C</t>
  </si>
  <si>
    <t>TIE BREAKER REGULATION</t>
  </si>
  <si>
    <t>Points obtained in all group matches;</t>
  </si>
  <si>
    <t>Goal difference in all group matches;</t>
  </si>
  <si>
    <t>Number of goals scored in all group matches;</t>
  </si>
  <si>
    <t>Points obtained in the matches played between the teams in question;</t>
  </si>
  <si>
    <t>Goal difference in the matches played between the teams in question;</t>
  </si>
  <si>
    <t>Number of goals scored in the matches played between the teams in question;</t>
  </si>
  <si>
    <t>&gt; Yellow card: −1 point;</t>
  </si>
  <si>
    <t>&gt; Indirect red card (second yellow card): −3 points;</t>
  </si>
  <si>
    <t>&gt; Direct red card: −4 points;</t>
  </si>
  <si>
    <t>&gt; Yellow card and direct red card: −5 points;</t>
  </si>
  <si>
    <t>The ranking of teams in the group stage is determined as follows:</t>
  </si>
  <si>
    <t>Do not change or sort country order. It will break country reference formula</t>
  </si>
  <si>
    <t>Knock Out Rounds</t>
  </si>
  <si>
    <t>LICENSE</t>
  </si>
  <si>
    <t>ABOUT</t>
  </si>
  <si>
    <t>UPDATE</t>
  </si>
  <si>
    <t>Editiion</t>
  </si>
  <si>
    <t>Version</t>
  </si>
  <si>
    <t>License</t>
  </si>
  <si>
    <t>Single User</t>
  </si>
  <si>
    <t>Product Info</t>
  </si>
  <si>
    <t>https://journalsheet.com</t>
  </si>
  <si>
    <t>Support</t>
  </si>
  <si>
    <t>support@journalsheet.com</t>
  </si>
  <si>
    <t>Copyrights ©</t>
  </si>
  <si>
    <r>
      <t>journal</t>
    </r>
    <r>
      <rPr>
        <b/>
        <sz val="22"/>
        <color rgb="FF00B050"/>
        <rFont val="Calibri"/>
        <family val="2"/>
        <scheme val="minor"/>
      </rPr>
      <t>SHEET</t>
    </r>
    <r>
      <rPr>
        <b/>
        <sz val="22"/>
        <color theme="0"/>
        <rFont val="Calibri"/>
        <family val="2"/>
        <scheme val="minor"/>
      </rPr>
      <t>.com</t>
    </r>
  </si>
  <si>
    <t>Get more sport spreadsheets in journalSHEET.com</t>
  </si>
  <si>
    <t>USA</t>
  </si>
  <si>
    <t>Rule</t>
  </si>
  <si>
    <t>table rank 1</t>
  </si>
  <si>
    <t>table rank 2</t>
  </si>
  <si>
    <t>table rank 3</t>
  </si>
  <si>
    <t>table rank 4</t>
  </si>
  <si>
    <t>GS</t>
  </si>
  <si>
    <t>GA</t>
  </si>
  <si>
    <t>Diff</t>
  </si>
  <si>
    <t>Points</t>
  </si>
  <si>
    <t>Rank</t>
  </si>
  <si>
    <t>rankall points</t>
  </si>
  <si>
    <t>rerank</t>
  </si>
  <si>
    <t>rank 1</t>
  </si>
  <si>
    <t>rank 2</t>
  </si>
  <si>
    <t>rank 3</t>
  </si>
  <si>
    <t>rank 4</t>
  </si>
  <si>
    <t>Team</t>
  </si>
  <si>
    <t>Sdif</t>
  </si>
  <si>
    <t>SGS</t>
  </si>
  <si>
    <t>Koef</t>
  </si>
  <si>
    <t>Pts</t>
  </si>
  <si>
    <t>R</t>
  </si>
  <si>
    <t>GD</t>
  </si>
  <si>
    <t>Sdiff</t>
  </si>
  <si>
    <t>FR</t>
  </si>
  <si>
    <t>Y</t>
  </si>
  <si>
    <t>all the same</t>
  </si>
  <si>
    <t>points</t>
  </si>
  <si>
    <t>table rank-1 2</t>
  </si>
  <si>
    <t>table rank-2 2</t>
  </si>
  <si>
    <t>GROUP MATCHES ARE SORTED BY MATCH NUMBER</t>
  </si>
  <si>
    <t>Fill full time scores in column J and K</t>
  </si>
  <si>
    <t xml:space="preserve">Fill penalty shoot out scores in KO rounds in columns at the right of Full Time scores columns </t>
  </si>
  <si>
    <t>Group standings will be calculated automatically based on official FIFA Club World Cup Tie Breaker regulation</t>
  </si>
  <si>
    <t>local time</t>
  </si>
  <si>
    <t>eastern time</t>
  </si>
  <si>
    <t>Time Difference with  New York Time (ET) ►</t>
  </si>
  <si>
    <t>Your City Name</t>
  </si>
  <si>
    <t>Select your language. There are only 6 translated language. You can translate default English language to your own by typing its translation in column C. YOU NEED TO TRANSLATE ALL TEXTS FROM COLUMN B if you want to use your own translation.</t>
  </si>
  <si>
    <t>You may type your city name in cell D6. It will be shown if you change time zone to your timezone in cell Q2 in Matches Tab</t>
  </si>
  <si>
    <t>If, after having applied criteria 1 to 3, teams still have an equal ranking, criteria 2 to 4 are reapplied exclusively to the matches between the teams who are still level to determine their final rankings.[a] If this procedure does not lead to a decision, criteria 6 to 9 will apply;</t>
  </si>
  <si>
    <t xml:space="preserve"> Fair play points in all group matches (only one deduction can be applied to a player or coach in a single match):</t>
  </si>
  <si>
    <t>2025 | journalSHEET.com</t>
  </si>
  <si>
    <t>© 2025 | journalSHEET.com</t>
  </si>
  <si>
    <t>Mexico</t>
  </si>
  <si>
    <t>Korea Republic</t>
  </si>
  <si>
    <t>Canada</t>
  </si>
  <si>
    <t>Qatar</t>
  </si>
  <si>
    <t>Switzerland</t>
  </si>
  <si>
    <t>Brazil</t>
  </si>
  <si>
    <t>Morocco</t>
  </si>
  <si>
    <t>Haiti</t>
  </si>
  <si>
    <t>Scotland</t>
  </si>
  <si>
    <t>Paraguay</t>
  </si>
  <si>
    <t>Australia</t>
  </si>
  <si>
    <t>Germany</t>
  </si>
  <si>
    <t>Curacao</t>
  </si>
  <si>
    <t>Cote D'Voire</t>
  </si>
  <si>
    <t>Ecuador</t>
  </si>
  <si>
    <t>Netherlands</t>
  </si>
  <si>
    <t>Japan</t>
  </si>
  <si>
    <t>Tunisia</t>
  </si>
  <si>
    <t>Belgium</t>
  </si>
  <si>
    <t>Egypt</t>
  </si>
  <si>
    <t>Iran</t>
  </si>
  <si>
    <t>New Zealand</t>
  </si>
  <si>
    <t>Spain</t>
  </si>
  <si>
    <t>Saudi Arabia</t>
  </si>
  <si>
    <t>Uruguay</t>
  </si>
  <si>
    <t>France</t>
  </si>
  <si>
    <t>Senegal</t>
  </si>
  <si>
    <t>Norway</t>
  </si>
  <si>
    <t>Argentina</t>
  </si>
  <si>
    <t>Algeria</t>
  </si>
  <si>
    <t>Austria</t>
  </si>
  <si>
    <t>Jordan</t>
  </si>
  <si>
    <t>Portugal</t>
  </si>
  <si>
    <t>Uzbekistan</t>
  </si>
  <si>
    <t>Colombia</t>
  </si>
  <si>
    <t>England</t>
  </si>
  <si>
    <t>Croatia</t>
  </si>
  <si>
    <t>Ghana</t>
  </si>
  <si>
    <t>Panama</t>
  </si>
  <si>
    <t>I</t>
  </si>
  <si>
    <t>J</t>
  </si>
  <si>
    <t>K</t>
  </si>
  <si>
    <t>South Africa</t>
  </si>
  <si>
    <t>Estadio Azteca, Mexico City 🇲🇽</t>
  </si>
  <si>
    <t>Estadio Akron, Guadalajara 🇲🇽</t>
  </si>
  <si>
    <t>BMO Field, Toronto 🇨🇦</t>
  </si>
  <si>
    <t>SoFi Stadium, Los Angeles 🇺🇸</t>
  </si>
  <si>
    <t>Gillette Stadium, Boston 🇺🇸</t>
  </si>
  <si>
    <t>BC Place, Vancouver 🇨🇦</t>
  </si>
  <si>
    <t>MetLife Stadium, NY/NJ 🇺🇸</t>
  </si>
  <si>
    <t>Levi’s Stadium, San Francisco 🇺🇸</t>
  </si>
  <si>
    <t>Lincoln Financial Field, Philadelphia 🇺🇸</t>
  </si>
  <si>
    <t>NRG Stadium, Houston 🇺🇸</t>
  </si>
  <si>
    <t>AT&amp;T Stadium, Dallas 🇺🇸</t>
  </si>
  <si>
    <t>Estadio BBVA, Monterrey 🇲🇽</t>
  </si>
  <si>
    <t>Hard Rock Stadium, Miami 🇺🇸</t>
  </si>
  <si>
    <t>Mercedes-Benz Stadium, Atlanta 🇺🇸</t>
  </si>
  <si>
    <t>Lumen Field, Seattle 🇺🇸</t>
  </si>
  <si>
    <t>Arrowhead Stadium, Kansas City 🇺🇸</t>
  </si>
  <si>
    <t>MetLife Stadium, New York/New Jersey 🇺🇸</t>
  </si>
  <si>
    <t>Round of 32</t>
  </si>
  <si>
    <t>Group I Winner</t>
  </si>
  <si>
    <t>Group J Winner</t>
  </si>
  <si>
    <t>Group K Winner</t>
  </si>
  <si>
    <t>Group L Winner</t>
  </si>
  <si>
    <t>Group I Runner Up</t>
  </si>
  <si>
    <t>Group J Runner Up</t>
  </si>
  <si>
    <t>Group K Runner Up</t>
  </si>
  <si>
    <t>Group L Runner Up</t>
  </si>
  <si>
    <t>Group I</t>
  </si>
  <si>
    <t>Group J</t>
  </si>
  <si>
    <t>Group K</t>
  </si>
  <si>
    <t>Group L</t>
  </si>
  <si>
    <t>Gr</t>
  </si>
  <si>
    <t>PSO</t>
  </si>
  <si>
    <t>R16</t>
  </si>
  <si>
    <t>QF</t>
  </si>
  <si>
    <t>SF</t>
  </si>
  <si>
    <t>R32</t>
  </si>
  <si>
    <t>3rd</t>
  </si>
  <si>
    <t>3rd Group A/B/C/D/F</t>
  </si>
  <si>
    <t>3rd Group C/D/F/G/H</t>
  </si>
  <si>
    <t>3rd Group C/E/F/H/I</t>
  </si>
  <si>
    <t>3rd Group E/H/I/J/K</t>
  </si>
  <si>
    <t>3rd Group B/E/F/I/J</t>
  </si>
  <si>
    <t>3rd Group A/E/H/I/J</t>
  </si>
  <si>
    <t>3rd Group E/F/G/I/J</t>
  </si>
  <si>
    <t>3rd Group D/E/I/J/L</t>
  </si>
  <si>
    <t>3E</t>
  </si>
  <si>
    <t>3J</t>
  </si>
  <si>
    <t>3I</t>
  </si>
  <si>
    <t>3F</t>
  </si>
  <si>
    <t>3H</t>
  </si>
  <si>
    <t>3G</t>
  </si>
  <si>
    <t>3L</t>
  </si>
  <si>
    <t>3K</t>
  </si>
  <si>
    <t>3D</t>
  </si>
  <si>
    <t>3C</t>
  </si>
  <si>
    <t>3B</t>
  </si>
  <si>
    <t>3A</t>
  </si>
  <si>
    <t>8 BEST</t>
  </si>
  <si>
    <t>Pts Rank</t>
  </si>
  <si>
    <t>GD Rank</t>
  </si>
  <si>
    <t>GS Rank</t>
  </si>
  <si>
    <t>Koef Rank</t>
  </si>
  <si>
    <t>Ranking Final</t>
  </si>
  <si>
    <t>cek koef rank based gede atau kecil</t>
  </si>
  <si>
    <t>1A</t>
  </si>
  <si>
    <t>1B</t>
  </si>
  <si>
    <t>1D</t>
  </si>
  <si>
    <t>1E</t>
  </si>
  <si>
    <t>1G</t>
  </si>
  <si>
    <t>1I</t>
  </si>
  <si>
    <t>1K</t>
  </si>
  <si>
    <t>1L</t>
  </si>
  <si>
    <t>TOT</t>
  </si>
  <si>
    <t>Group A-L 3rd Place Standings</t>
  </si>
  <si>
    <t>3rd place</t>
  </si>
  <si>
    <t>Match 73 Winner</t>
  </si>
  <si>
    <t>Match 74 Winner</t>
  </si>
  <si>
    <t>Match 75 Winner</t>
  </si>
  <si>
    <t>Match 76 Winner</t>
  </si>
  <si>
    <t>Match 77 Winner</t>
  </si>
  <si>
    <t>Match 78 Winner</t>
  </si>
  <si>
    <t>Match 79 Winner</t>
  </si>
  <si>
    <t>Match 80 Winner</t>
  </si>
  <si>
    <t>Match 81 Winner</t>
  </si>
  <si>
    <t>Match 82 Winner</t>
  </si>
  <si>
    <t>Match 83 Winner</t>
  </si>
  <si>
    <t>Match 84 Winner</t>
  </si>
  <si>
    <t>Match 85 Winner</t>
  </si>
  <si>
    <t>Match 86 Winner</t>
  </si>
  <si>
    <t>Match 87 Winner</t>
  </si>
  <si>
    <t>Match 88 Winner</t>
  </si>
  <si>
    <t>Match 89 Winner</t>
  </si>
  <si>
    <t>Match 90 Winner</t>
  </si>
  <si>
    <t>Match 91 Winner</t>
  </si>
  <si>
    <t>Match 92 Winner</t>
  </si>
  <si>
    <t>Match 93 Winner</t>
  </si>
  <si>
    <t>Match 94 Winner</t>
  </si>
  <si>
    <t>Match 95 Winner</t>
  </si>
  <si>
    <t>Match 96 Winner</t>
  </si>
  <si>
    <t>Match 97 Winner</t>
  </si>
  <si>
    <t>Match 98 Winner</t>
  </si>
  <si>
    <t>Match 99 Winner</t>
  </si>
  <si>
    <t>Match 100 Winner</t>
  </si>
  <si>
    <t>Match 101 Winner</t>
  </si>
  <si>
    <t>Match 102 Winner</t>
  </si>
  <si>
    <t>Match 102 Loser</t>
  </si>
  <si>
    <t>Match 101 Loser</t>
  </si>
  <si>
    <t>Match 104 Loser</t>
  </si>
  <si>
    <t>Match 103 Winner</t>
  </si>
  <si>
    <t>Match 104 Winner</t>
  </si>
  <si>
    <t>World Cup 2026 Fixtures</t>
  </si>
  <si>
    <t>World Cup 2026 Champion</t>
  </si>
  <si>
    <t>World Cup 2026 Runner Up</t>
  </si>
  <si>
    <t>World Cup 2026 Third Place</t>
  </si>
  <si>
    <t>Cabo Verde</t>
  </si>
  <si>
    <t>DR7</t>
  </si>
  <si>
    <t>DR8</t>
  </si>
  <si>
    <t>DR9</t>
  </si>
  <si>
    <t>DR10</t>
  </si>
  <si>
    <t>DR11</t>
  </si>
  <si>
    <t>DR12</t>
  </si>
  <si>
    <t>DR13</t>
  </si>
  <si>
    <t>DR14</t>
  </si>
  <si>
    <t>DR15</t>
  </si>
  <si>
    <t>DR16</t>
  </si>
  <si>
    <t>DR17</t>
  </si>
  <si>
    <t>DR18</t>
  </si>
  <si>
    <t>DR19</t>
  </si>
  <si>
    <t>DR20</t>
  </si>
  <si>
    <t>DR21</t>
  </si>
  <si>
    <t>DR22</t>
  </si>
  <si>
    <t>DR23</t>
  </si>
  <si>
    <t>DR24</t>
  </si>
  <si>
    <t>DR25</t>
  </si>
  <si>
    <t>DR26</t>
  </si>
  <si>
    <t>DR27</t>
  </si>
  <si>
    <t>DR28</t>
  </si>
  <si>
    <t>DR29</t>
  </si>
  <si>
    <t>DR30</t>
  </si>
  <si>
    <t>DR31</t>
  </si>
  <si>
    <t>DR32</t>
  </si>
  <si>
    <t>DR33</t>
  </si>
  <si>
    <t>DR34</t>
  </si>
  <si>
    <t>DR35</t>
  </si>
  <si>
    <t>DR36</t>
  </si>
  <si>
    <t>DR37</t>
  </si>
  <si>
    <t>DR38</t>
  </si>
  <si>
    <t>DR39</t>
  </si>
  <si>
    <t>DR40</t>
  </si>
  <si>
    <t>DR41</t>
  </si>
  <si>
    <t>DR42</t>
  </si>
  <si>
    <t>DR43</t>
  </si>
  <si>
    <t>DR44</t>
  </si>
  <si>
    <t>DR45</t>
  </si>
  <si>
    <t>DR46</t>
  </si>
  <si>
    <t>DR47</t>
  </si>
  <si>
    <t>DR48</t>
  </si>
  <si>
    <t>DR49</t>
  </si>
  <si>
    <t>DR50</t>
  </si>
  <si>
    <t>DR51</t>
  </si>
  <si>
    <t>DR52</t>
  </si>
  <si>
    <t>DR53</t>
  </si>
  <si>
    <t>DR54</t>
  </si>
  <si>
    <t>Better position in the most recent FIFA Men's World Ranking;</t>
  </si>
  <si>
    <t>FIFA Rank</t>
  </si>
  <si>
    <t>You may edit FIFA Rank in column F to make sure it follows the latest FIFA rank if team rank has to be decided by tie-breaker 9</t>
  </si>
  <si>
    <t>You may need to type FAIR PLAY points if two or more teams in group standings have to go through tie-breaker 8 where their standings is decided by fair play point (do not forget to add minus sign)</t>
  </si>
  <si>
    <t>FIFA World Ranking Source</t>
  </si>
  <si>
    <t>Groupe I</t>
  </si>
  <si>
    <t>Groupe J</t>
  </si>
  <si>
    <t>Groupe K</t>
  </si>
  <si>
    <t>Groupe L</t>
  </si>
  <si>
    <t>Gruppe I</t>
  </si>
  <si>
    <t>Gruppe J</t>
  </si>
  <si>
    <t>Gruppe K</t>
  </si>
  <si>
    <t>Gruppe L</t>
  </si>
  <si>
    <t>Gruppo I</t>
  </si>
  <si>
    <t>Gruppo J</t>
  </si>
  <si>
    <t>Gruppo K</t>
  </si>
  <si>
    <t>Gruppo L</t>
  </si>
  <si>
    <t>Grupo I</t>
  </si>
  <si>
    <t>Grupo J</t>
  </si>
  <si>
    <t>Grupo K</t>
  </si>
  <si>
    <t>Grupo L</t>
  </si>
  <si>
    <t>Match 85 Vainqueur</t>
  </si>
  <si>
    <t>Match 86 Vainqueur</t>
  </si>
  <si>
    <t>Match 87 Vainqueur</t>
  </si>
  <si>
    <t>Match 88 Vainqueur</t>
  </si>
  <si>
    <t>Match 89 Vainqueur</t>
  </si>
  <si>
    <t>Match 90 Vainqueur</t>
  </si>
  <si>
    <t>Match 91 Vainqueur</t>
  </si>
  <si>
    <t>Match 92 Vainqueur</t>
  </si>
  <si>
    <t>Match 93 Vainqueur</t>
  </si>
  <si>
    <t>Match 94 Vainqueur</t>
  </si>
  <si>
    <t>Match 95 Vainqueur</t>
  </si>
  <si>
    <t>Match 96 Vainqueur</t>
  </si>
  <si>
    <t>Match 97 Vainqueur</t>
  </si>
  <si>
    <t>Match 98 Vainqueur</t>
  </si>
  <si>
    <t>Match 99 Vainqueur</t>
  </si>
  <si>
    <t>Match 100 Vainqueur</t>
  </si>
  <si>
    <t>Match 101 Vainqueur</t>
  </si>
  <si>
    <t>Match 102 Vainqueur</t>
  </si>
  <si>
    <t>Match 103 Vainqueur</t>
  </si>
  <si>
    <t>Match 104 Vainqueur</t>
  </si>
  <si>
    <t>Match 101 Perdant</t>
  </si>
  <si>
    <t>Match 102 Perdant</t>
  </si>
  <si>
    <t>Match 104 Perdant</t>
  </si>
  <si>
    <t>Ganador partido 85</t>
  </si>
  <si>
    <t>Ganador partido 86</t>
  </si>
  <si>
    <t>Ganador partido 87</t>
  </si>
  <si>
    <t>Ganador partido 88</t>
  </si>
  <si>
    <t>Ganador partido 89</t>
  </si>
  <si>
    <t>Ganador partido 90</t>
  </si>
  <si>
    <t>Ganador partido 91</t>
  </si>
  <si>
    <t>Ganador partido 92</t>
  </si>
  <si>
    <t>Ganador partido 93</t>
  </si>
  <si>
    <t>Ganador partido 94</t>
  </si>
  <si>
    <t>Ganador partido 95</t>
  </si>
  <si>
    <t>Ganador partido 96</t>
  </si>
  <si>
    <t>Sieger Spiel 73</t>
  </si>
  <si>
    <t>Vincitore partita 73</t>
  </si>
  <si>
    <t>Vencedor Jogo 73</t>
  </si>
  <si>
    <t>Ganador partido 73</t>
  </si>
  <si>
    <t>Sieger Spiel 74</t>
  </si>
  <si>
    <t>Vincitore partita 74</t>
  </si>
  <si>
    <t>Vencedor Jogo 74</t>
  </si>
  <si>
    <t>Ganador partido 74</t>
  </si>
  <si>
    <t>Sieger Spiel 75</t>
  </si>
  <si>
    <t>Vincitore partita 75</t>
  </si>
  <si>
    <t>Vencedor Jogo 75</t>
  </si>
  <si>
    <t>Ganador partido 75</t>
  </si>
  <si>
    <t>Sieger Spiel 76</t>
  </si>
  <si>
    <t>Vincitore partita 76</t>
  </si>
  <si>
    <t>Vencedor Jogo 76</t>
  </si>
  <si>
    <t>Ganador partido 76</t>
  </si>
  <si>
    <t>Sieger Spiel 77</t>
  </si>
  <si>
    <t>Vincitore partita 77</t>
  </si>
  <si>
    <t>Vencedor Jogo 77</t>
  </si>
  <si>
    <t>Ganador partido 77</t>
  </si>
  <si>
    <t>Sieger Spiel 78</t>
  </si>
  <si>
    <t>Vincitore partita 78</t>
  </si>
  <si>
    <t>Vencedor Jogo 78</t>
  </si>
  <si>
    <t>Ganador partido 78</t>
  </si>
  <si>
    <t>Sieger Spiel 79</t>
  </si>
  <si>
    <t>Vincitore partita 79</t>
  </si>
  <si>
    <t>Vencedor Jogo 79</t>
  </si>
  <si>
    <t>Ganador partido 79</t>
  </si>
  <si>
    <t>Sieger Spiel 80</t>
  </si>
  <si>
    <t>Vincitore partita 80</t>
  </si>
  <si>
    <t>Vencedor Jogo 80</t>
  </si>
  <si>
    <t>Ganador partido 80</t>
  </si>
  <si>
    <t>Sieger Spiel 81</t>
  </si>
  <si>
    <t>Vincitore partita 81</t>
  </si>
  <si>
    <t>Vencedor Jogo 81</t>
  </si>
  <si>
    <t>Ganador partido 81</t>
  </si>
  <si>
    <t>Sieger Spiel 82</t>
  </si>
  <si>
    <t>Vincitore partita 82</t>
  </si>
  <si>
    <t>Vencedor Jogo 82</t>
  </si>
  <si>
    <t>Ganador partido 82</t>
  </si>
  <si>
    <t>Sieger Spiel 83</t>
  </si>
  <si>
    <t>Vincitore partita 83</t>
  </si>
  <si>
    <t>Vencedor Jogo 83</t>
  </si>
  <si>
    <t>Ganador partido 83</t>
  </si>
  <si>
    <t>Sieger Spiel 84</t>
  </si>
  <si>
    <t>Vincitore partita 84</t>
  </si>
  <si>
    <t>Vencedor Jogo 84</t>
  </si>
  <si>
    <t>Ganador partido 84</t>
  </si>
  <si>
    <t>Match 73 Vainqueur</t>
  </si>
  <si>
    <t>Match 74 Vainqueur</t>
  </si>
  <si>
    <t>Match 75 Vainqueur</t>
  </si>
  <si>
    <t>Match 76 Vainqueur</t>
  </si>
  <si>
    <t>Match 77 Vainqueur</t>
  </si>
  <si>
    <t>Match 78 Vainqueur</t>
  </si>
  <si>
    <t>Match 79 Vainqueur</t>
  </si>
  <si>
    <t>Match 80 Vainqueur</t>
  </si>
  <si>
    <t>Match 81 Vainqueur</t>
  </si>
  <si>
    <t>Match 82 Vainqueur</t>
  </si>
  <si>
    <t>Match 83 Vainqueur</t>
  </si>
  <si>
    <t>Match 84 Vainqueur</t>
  </si>
  <si>
    <t>Sieger Spiel 85</t>
  </si>
  <si>
    <t>Vincitore partita 85</t>
  </si>
  <si>
    <t>Vencedor Jogo 85</t>
  </si>
  <si>
    <t>Sieger Spiel 86</t>
  </si>
  <si>
    <t>Vincitore partita 86</t>
  </si>
  <si>
    <t>Vencedor Jogo 86</t>
  </si>
  <si>
    <t>Sieger Spiel 87</t>
  </si>
  <si>
    <t>Vincitore partita 87</t>
  </si>
  <si>
    <t>Vencedor Jogo 87</t>
  </si>
  <si>
    <t>Sieger Spiel 88</t>
  </si>
  <si>
    <t>Vincitore partita 88</t>
  </si>
  <si>
    <t>Vencedor Jogo 88</t>
  </si>
  <si>
    <t>Sieger Spiel 89</t>
  </si>
  <si>
    <t>Vincitore partita 89</t>
  </si>
  <si>
    <t>Vencedor Jogo 89</t>
  </si>
  <si>
    <t>Sieger Spiel 90</t>
  </si>
  <si>
    <t>Vincitore partita 90</t>
  </si>
  <si>
    <t>Vencedor Jogo 90</t>
  </si>
  <si>
    <t>Sieger Spiel 91</t>
  </si>
  <si>
    <t>Vincitore partita 91</t>
  </si>
  <si>
    <t>Vencedor Jogo 91</t>
  </si>
  <si>
    <t>Sieger Spiel 92</t>
  </si>
  <si>
    <t>Vincitore partita 92</t>
  </si>
  <si>
    <t>Vencedor Jogo 92</t>
  </si>
  <si>
    <t>Sieger Spiel 93</t>
  </si>
  <si>
    <t>Vincitore partita 93</t>
  </si>
  <si>
    <t>Vencedor Jogo 93</t>
  </si>
  <si>
    <t>Sieger Spiel 94</t>
  </si>
  <si>
    <t>Vincitore partita 94</t>
  </si>
  <si>
    <t>Vencedor Jogo 94</t>
  </si>
  <si>
    <t>Sieger Spiel 95</t>
  </si>
  <si>
    <t>Vincitore partita 95</t>
  </si>
  <si>
    <t>Vencedor Jogo 95</t>
  </si>
  <si>
    <t>Sieger Spiel 96</t>
  </si>
  <si>
    <t>Vincitore partita 96</t>
  </si>
  <si>
    <t>Vencedor Jogo 96</t>
  </si>
  <si>
    <t>Sieger Spiel 97</t>
  </si>
  <si>
    <t>Vincitore partita 97</t>
  </si>
  <si>
    <t>Vencedor Jogo 97</t>
  </si>
  <si>
    <t>Ganador partido 97</t>
  </si>
  <si>
    <t>Sieger Spiel 98</t>
  </si>
  <si>
    <t>Vincitore partita 98</t>
  </si>
  <si>
    <t>Vencedor Jogo 98</t>
  </si>
  <si>
    <t>Ganador partido 98</t>
  </si>
  <si>
    <t>Sieger Spiel 99</t>
  </si>
  <si>
    <t>Vincitore partita 99</t>
  </si>
  <si>
    <t>Vencedor Jogo 99</t>
  </si>
  <si>
    <t>Ganador partido 99</t>
  </si>
  <si>
    <t>Sieger Spiel 100</t>
  </si>
  <si>
    <t>Vincitore partita 100</t>
  </si>
  <si>
    <t>Vencedor Jogo 100</t>
  </si>
  <si>
    <t>Ganador partido 100</t>
  </si>
  <si>
    <t>Sieger Spiel 101</t>
  </si>
  <si>
    <t>Vincitore partita 101</t>
  </si>
  <si>
    <t>Vencedor Jogo 101</t>
  </si>
  <si>
    <t>Ganador partido 101</t>
  </si>
  <si>
    <t>Sieger Spiel 102</t>
  </si>
  <si>
    <t>Vincitore partita 102</t>
  </si>
  <si>
    <t>Vencedor Jogo 102</t>
  </si>
  <si>
    <t>Ganador partido 102</t>
  </si>
  <si>
    <t>Sieger Spiel 103</t>
  </si>
  <si>
    <t>Vincitore partita 103</t>
  </si>
  <si>
    <t>Vencedor Jogo 103</t>
  </si>
  <si>
    <t>Ganador partido 103</t>
  </si>
  <si>
    <t>Sieger Spiel 104</t>
  </si>
  <si>
    <t>Vincitore partita 104</t>
  </si>
  <si>
    <t>Vencedor Jogo 104</t>
  </si>
  <si>
    <t>Ganador partido 104</t>
  </si>
  <si>
    <t>Verlierer Spiel 101</t>
  </si>
  <si>
    <t>Verlierer Spiel 102</t>
  </si>
  <si>
    <t>Verlierer Spiel 104</t>
  </si>
  <si>
    <t>Perdente partita 101</t>
  </si>
  <si>
    <t>Perdente partita 102</t>
  </si>
  <si>
    <t>Perdente partita 104</t>
  </si>
  <si>
    <t>Derrotago Jogo 101</t>
  </si>
  <si>
    <t>Derrotago Jogo 102</t>
  </si>
  <si>
    <t>Derrotago Jogo 104</t>
  </si>
  <si>
    <t>Perdedor partido 101</t>
  </si>
  <si>
    <t>Perdedor partido 102</t>
  </si>
  <si>
    <t>Perdedor partido 104</t>
  </si>
  <si>
    <t>Second Groupe J</t>
  </si>
  <si>
    <t>Second Groupe K</t>
  </si>
  <si>
    <t>Second Groupe L</t>
  </si>
  <si>
    <t>Second Groupe I</t>
  </si>
  <si>
    <t>Zweiter Gruppe I</t>
  </si>
  <si>
    <t>Zweiter Gruppe J</t>
  </si>
  <si>
    <t>Zweiter Gruppe K</t>
  </si>
  <si>
    <t>Zweiter Gruppe L</t>
  </si>
  <si>
    <t>Seconda gruppo I</t>
  </si>
  <si>
    <t>Seconda gruppo J</t>
  </si>
  <si>
    <t>Seconda gruppo K</t>
  </si>
  <si>
    <t>Seconda gruppo L</t>
  </si>
  <si>
    <t>2º Classificado Grupo I</t>
  </si>
  <si>
    <t>2º Classificado Grupo J</t>
  </si>
  <si>
    <t>2º Classificado Grupo K</t>
  </si>
  <si>
    <t>2º Classificado Grupo L</t>
  </si>
  <si>
    <t>Segundo Grupo I</t>
  </si>
  <si>
    <t>Segundo Grupo J</t>
  </si>
  <si>
    <t>Segundo Grupo K</t>
  </si>
  <si>
    <t>Segundo Grupo L</t>
  </si>
  <si>
    <t>Troisième groupe A/B/C/D/F</t>
  </si>
  <si>
    <t>Troisième groupe A/E/H/I/J</t>
  </si>
  <si>
    <t>Troisième groupe B/E/F/I/J</t>
  </si>
  <si>
    <t>Troisième groupe C/D/F/G/H</t>
  </si>
  <si>
    <t>Troisième groupe C/E/F/H/I</t>
  </si>
  <si>
    <t>Troisième groupe D/E/I/J/L</t>
  </si>
  <si>
    <t>Troisième groupe E/F/G/I/J</t>
  </si>
  <si>
    <t>Troisième groupe E/H/I/J/K</t>
  </si>
  <si>
    <t>Dritte Gruppe A/B/C/D/F</t>
  </si>
  <si>
    <t>Dritte Gruppe A/E/H/I/J</t>
  </si>
  <si>
    <t>Dritte Gruppe B/E/F/I/J</t>
  </si>
  <si>
    <t>Dritte Gruppe C/D/F/G/H</t>
  </si>
  <si>
    <t>Dritte Gruppe C/E/F/H/I</t>
  </si>
  <si>
    <t>Dritte Gruppe D/E/I/J/L</t>
  </si>
  <si>
    <t>Dritte Gruppe E/F/G/I/J</t>
  </si>
  <si>
    <t>Dritte Gruppe E/H/I/J/K</t>
  </si>
  <si>
    <t>Terzo Gruppo A/B/C/D/F</t>
  </si>
  <si>
    <t>Terzo Gruppo A/E/H/I/J</t>
  </si>
  <si>
    <t>Terzo Gruppo B/E/F/I/J</t>
  </si>
  <si>
    <t>Terzo Gruppo C/D/F/G/H</t>
  </si>
  <si>
    <t>Terzo Gruppo C/E/F/H/I</t>
  </si>
  <si>
    <t>Terzo Gruppo D/E/I/J/L</t>
  </si>
  <si>
    <t>Terzo Gruppo E/F/G/I/J</t>
  </si>
  <si>
    <t>Terzo Gruppo E/H/I/J/K</t>
  </si>
  <si>
    <t>Terceiro Grupo A/B/C/D/F</t>
  </si>
  <si>
    <t>Terceiro Grupo A/E/H/I/J</t>
  </si>
  <si>
    <t>Terceiro Grupo B/E/F/I/J</t>
  </si>
  <si>
    <t>Terceiro Grupo C/D/F/G/H</t>
  </si>
  <si>
    <t>Terceiro Grupo C/E/F/H/I</t>
  </si>
  <si>
    <t>Terceiro Grupo D/E/I/J/L</t>
  </si>
  <si>
    <t>Terceiro Grupo E/F/G/I/J</t>
  </si>
  <si>
    <t>Terceiro Grupo E/H/I/J/K</t>
  </si>
  <si>
    <t>Tercer grupo A/B/C/D/F</t>
  </si>
  <si>
    <t>Tercer grupo A/E/H/I/J</t>
  </si>
  <si>
    <t>Tercer grupo B/E/F/I/J</t>
  </si>
  <si>
    <t>Tercer grupo C/D/F/G/H</t>
  </si>
  <si>
    <t>Tercer grupo C/E/F/H/I</t>
  </si>
  <si>
    <t>Tercer grupo D/E/I/J/L</t>
  </si>
  <si>
    <t>Tercer grupo E/F/G/I/J</t>
  </si>
  <si>
    <t>Tercer grupo E/H/I/J/K</t>
  </si>
  <si>
    <t>Subcampeón del Mundial 2026</t>
  </si>
  <si>
    <t>Tercer puesto en el Mundial 2026</t>
  </si>
  <si>
    <t>Vice-campeão da Copa do Mundo de 2026</t>
  </si>
  <si>
    <t>Terceiro lugar na Copa do Mundo de 2026</t>
  </si>
  <si>
    <t>Secondo posto ai Mondiali 2026</t>
  </si>
  <si>
    <t>Terzo posto ai Mondiali 2026</t>
  </si>
  <si>
    <t>Vizeweltmeister 2026</t>
  </si>
  <si>
    <t>Dritter Platz bei der Weltmeisterschaft 2026</t>
  </si>
  <si>
    <t>Finaliste de la Coupe du Monde 2026</t>
  </si>
  <si>
    <t>Troisième place à la Coupe du Monde 2026</t>
  </si>
  <si>
    <t>Groupe I Vainqueur</t>
  </si>
  <si>
    <t>Groupe J Vainqueur</t>
  </si>
  <si>
    <t>Groupe K Vainqueur</t>
  </si>
  <si>
    <t>Groupe L Vainqueur</t>
  </si>
  <si>
    <t>Sieger Gruppe I</t>
  </si>
  <si>
    <t>Sieger Gruppe J</t>
  </si>
  <si>
    <t>Sieger Gruppe K</t>
  </si>
  <si>
    <t>Sieger Gruppe L</t>
  </si>
  <si>
    <t>Vincitore gruppo I</t>
  </si>
  <si>
    <t>Vincitore gruppo J</t>
  </si>
  <si>
    <t>Vincitore gruppo K</t>
  </si>
  <si>
    <t>Vincitore gruppo L</t>
  </si>
  <si>
    <t>Vencedor Grupo I</t>
  </si>
  <si>
    <t>Vencedor Grupo J</t>
  </si>
  <si>
    <t>Vencedor Grupo K</t>
  </si>
  <si>
    <t>Vencedor Grupo L</t>
  </si>
  <si>
    <t>Primero Grupo I</t>
  </si>
  <si>
    <t>Primero Grupo J</t>
  </si>
  <si>
    <t>Primero Grupo K</t>
  </si>
  <si>
    <t>Primero Grupo L</t>
  </si>
  <si>
    <t>Troisième place</t>
  </si>
  <si>
    <t>Mexique</t>
  </si>
  <si>
    <t>Afrique du Sud</t>
  </si>
  <si>
    <t>République de Corée</t>
  </si>
  <si>
    <t>Suisse</t>
  </si>
  <si>
    <t>Brésil</t>
  </si>
  <si>
    <t>Maroc</t>
  </si>
  <si>
    <t>Haïti</t>
  </si>
  <si>
    <t>Écosse</t>
  </si>
  <si>
    <t>Australie</t>
  </si>
  <si>
    <t>Allemagne</t>
  </si>
  <si>
    <t>Curaçao</t>
  </si>
  <si>
    <t>Côte D'Voire</t>
  </si>
  <si>
    <t>Équateur</t>
  </si>
  <si>
    <t>Les Pays-Bas</t>
  </si>
  <si>
    <t>Japon</t>
  </si>
  <si>
    <t>Tunisie</t>
  </si>
  <si>
    <t>Belgique</t>
  </si>
  <si>
    <t>Egypte</t>
  </si>
  <si>
    <t>Nouvelle-Zélande</t>
  </si>
  <si>
    <t>Espagne</t>
  </si>
  <si>
    <t>Cap-Vert</t>
  </si>
  <si>
    <t>Arabie Saoudite</t>
  </si>
  <si>
    <t>Sénégal</t>
  </si>
  <si>
    <t>Norvège</t>
  </si>
  <si>
    <t>Argentine</t>
  </si>
  <si>
    <t>Algérie</t>
  </si>
  <si>
    <t>Autriche</t>
  </si>
  <si>
    <t>Jordanie</t>
  </si>
  <si>
    <t>Ouzbékistan</t>
  </si>
  <si>
    <t>Colombie</t>
  </si>
  <si>
    <t>Angleterre</t>
  </si>
  <si>
    <t>Croatie</t>
  </si>
  <si>
    <t>Mexiko</t>
  </si>
  <si>
    <t>Südafrika</t>
  </si>
  <si>
    <t>Republik Korea</t>
  </si>
  <si>
    <t>Kanada</t>
  </si>
  <si>
    <t>Katar</t>
  </si>
  <si>
    <t>Schweiz</t>
  </si>
  <si>
    <t>Brasilien</t>
  </si>
  <si>
    <t>Marokko</t>
  </si>
  <si>
    <t>Schottland</t>
  </si>
  <si>
    <t>Australien</t>
  </si>
  <si>
    <t>Deuschland</t>
  </si>
  <si>
    <t>Côte d'Voire</t>
  </si>
  <si>
    <t>Die Niederlande</t>
  </si>
  <si>
    <t>Tunesien</t>
  </si>
  <si>
    <t>Belgien</t>
  </si>
  <si>
    <t>Ägypten</t>
  </si>
  <si>
    <t>Neuseeland</t>
  </si>
  <si>
    <t>Spanien</t>
  </si>
  <si>
    <t>Kap Verde</t>
  </si>
  <si>
    <t>Saudi-Arabien</t>
  </si>
  <si>
    <t>Frankreich</t>
  </si>
  <si>
    <t>Norwegen</t>
  </si>
  <si>
    <t>Argentinien</t>
  </si>
  <si>
    <t>Algerien</t>
  </si>
  <si>
    <t>Österreich</t>
  </si>
  <si>
    <t>Jordanien</t>
  </si>
  <si>
    <t>Usbekistan</t>
  </si>
  <si>
    <t>Kolumbien</t>
  </si>
  <si>
    <t>Kroatien</t>
  </si>
  <si>
    <t>Messico</t>
  </si>
  <si>
    <t>Sudafrica</t>
  </si>
  <si>
    <t>Repubblica di Corea</t>
  </si>
  <si>
    <t>Svizzera</t>
  </si>
  <si>
    <t>Brasile</t>
  </si>
  <si>
    <t>Marocco</t>
  </si>
  <si>
    <t>Scozia</t>
  </si>
  <si>
    <t>Germania</t>
  </si>
  <si>
    <t>Costa della Voire</t>
  </si>
  <si>
    <t>I Paesi Bassi</t>
  </si>
  <si>
    <t>Giappone</t>
  </si>
  <si>
    <t>Belgio</t>
  </si>
  <si>
    <t>Egitto</t>
  </si>
  <si>
    <t>L'Iran</t>
  </si>
  <si>
    <t>Nuova Zelanda</t>
  </si>
  <si>
    <t>Spagna</t>
  </si>
  <si>
    <t>Capo Verde</t>
  </si>
  <si>
    <t>Arabia Saudita</t>
  </si>
  <si>
    <t>Francia</t>
  </si>
  <si>
    <t>Norvegia</t>
  </si>
  <si>
    <t>Giordania</t>
  </si>
  <si>
    <t>Portogallo</t>
  </si>
  <si>
    <t>Inghilterra</t>
  </si>
  <si>
    <t>Croazia</t>
  </si>
  <si>
    <t>México</t>
  </si>
  <si>
    <t>África do Sul</t>
  </si>
  <si>
    <t>República da Coreia</t>
  </si>
  <si>
    <t>Canadá</t>
  </si>
  <si>
    <t>Catar</t>
  </si>
  <si>
    <t>Suíça</t>
  </si>
  <si>
    <t>Brasil</t>
  </si>
  <si>
    <t>Marrocos</t>
  </si>
  <si>
    <t>Escócia</t>
  </si>
  <si>
    <t>EUA</t>
  </si>
  <si>
    <t>Paraguai</t>
  </si>
  <si>
    <t>Austrália</t>
  </si>
  <si>
    <t>Alemanha</t>
  </si>
  <si>
    <t>Costa do Voire</t>
  </si>
  <si>
    <t>Equador</t>
  </si>
  <si>
    <t>Holanda</t>
  </si>
  <si>
    <t>Japão</t>
  </si>
  <si>
    <t>Tunísia</t>
  </si>
  <si>
    <t>Bélgica</t>
  </si>
  <si>
    <t>Egito</t>
  </si>
  <si>
    <t>Irã</t>
  </si>
  <si>
    <t>Nova Zelândia</t>
  </si>
  <si>
    <t>Espanha</t>
  </si>
  <si>
    <t>Arábia Saudita</t>
  </si>
  <si>
    <t>Uruguai</t>
  </si>
  <si>
    <t>França</t>
  </si>
  <si>
    <t>Noruega</t>
  </si>
  <si>
    <t>Argélia</t>
  </si>
  <si>
    <t>Áustria</t>
  </si>
  <si>
    <t>Jordânia</t>
  </si>
  <si>
    <t>Uzbequistão</t>
  </si>
  <si>
    <t>Colômbia</t>
  </si>
  <si>
    <t>Inglaterra</t>
  </si>
  <si>
    <t>Croácia</t>
  </si>
  <si>
    <t>Gana</t>
  </si>
  <si>
    <t>Panamá</t>
  </si>
  <si>
    <t>Sudáfrica</t>
  </si>
  <si>
    <t>República de Corea</t>
  </si>
  <si>
    <t>Suiza</t>
  </si>
  <si>
    <t>Marruecos</t>
  </si>
  <si>
    <t>Haití</t>
  </si>
  <si>
    <t>Escocia</t>
  </si>
  <si>
    <t>Alemania</t>
  </si>
  <si>
    <t>Curazao</t>
  </si>
  <si>
    <t>Costa de Voire</t>
  </si>
  <si>
    <t>Países Bajos</t>
  </si>
  <si>
    <t>Japón</t>
  </si>
  <si>
    <t>Túnez</t>
  </si>
  <si>
    <t>Egipto</t>
  </si>
  <si>
    <t>Irán</t>
  </si>
  <si>
    <t>Nueva Zelanda</t>
  </si>
  <si>
    <t>España</t>
  </si>
  <si>
    <t>Argelia</t>
  </si>
  <si>
    <t>Jordán</t>
  </si>
  <si>
    <t>Uzbekistán</t>
  </si>
  <si>
    <t>Croacia</t>
  </si>
  <si>
    <t>Seizièmes de finale</t>
  </si>
  <si>
    <t>Dieciseisavos de final</t>
  </si>
  <si>
    <t>Dezasseis-avos-de-final</t>
  </si>
  <si>
    <t>Sedicesimi di finale</t>
  </si>
  <si>
    <t> Sechzehntelfinale </t>
  </si>
  <si>
    <t>Tercer lugar</t>
  </si>
  <si>
    <t>Terceiro lugar</t>
  </si>
  <si>
    <t>Terza posizione</t>
  </si>
  <si>
    <t>Dritter Platz</t>
  </si>
  <si>
    <t>phases à élimination directe</t>
  </si>
  <si>
    <t>fases de eliminación directa</t>
  </si>
  <si>
    <t>fases eliminatórias</t>
  </si>
  <si>
    <t>fasi a eliminazione diretta</t>
  </si>
  <si>
    <t>K.-o.-Runden</t>
  </si>
  <si>
    <t>World Cup 2026 Fixtures | Fully Editable</t>
  </si>
  <si>
    <t>World Cup 2026 Fixtures with Top Scorer | Fully Editable</t>
  </si>
  <si>
    <t>Price</t>
  </si>
  <si>
    <t>Purchase</t>
  </si>
  <si>
    <t>https://journalsheet.com/product/js849-ss-xl-%e2%97%89-world-cup-2026-fixtures-with-top-scorer</t>
  </si>
  <si>
    <t>World Cup 2026 Last Man Standing Game | 100 Players</t>
  </si>
  <si>
    <t>World Cup 2026 Predictor Game | 100 Players</t>
  </si>
  <si>
    <t>https://journalsheet.com/product/js848-ss-xl-%e2%97%89-world-cup-2026-last-man-standing-game</t>
  </si>
  <si>
    <t>https://journalsheet.com/product/js847-ss-xl-%e2%97%89-fifa-world-cup-2026-predictor-game</t>
  </si>
  <si>
    <t>https://journalsheet.com/product/js846-ss-xl-%e2%97%89-fifa-world-cup-2026-fixtures-scoresheet</t>
  </si>
  <si>
    <t>US$ 9</t>
  </si>
  <si>
    <t>US$ 15</t>
  </si>
  <si>
    <t>US$ 16</t>
  </si>
  <si>
    <t>US$ 23</t>
  </si>
  <si>
    <t>Czechia</t>
  </si>
  <si>
    <t>Bosnia and Herzegovina</t>
  </si>
  <si>
    <t>Türkiye</t>
  </si>
  <si>
    <t>Sweden</t>
  </si>
  <si>
    <t>Tchéquie</t>
  </si>
  <si>
    <t>Tschechien</t>
  </si>
  <si>
    <t>Cechia</t>
  </si>
  <si>
    <t>Chéquia</t>
  </si>
  <si>
    <t>Chequia</t>
  </si>
  <si>
    <t>Bosnie-Herzégovine</t>
  </si>
  <si>
    <t>Bosnien und Herzegowina</t>
  </si>
  <si>
    <t>Bosnia ed Erzegovina</t>
  </si>
  <si>
    <t>Bósnia e Herzegovina</t>
  </si>
  <si>
    <t>Bosnia y Herzegovina</t>
  </si>
  <si>
    <t>Les États-Unis</t>
  </si>
  <si>
    <t>EE. UU.</t>
  </si>
  <si>
    <t>Turquie</t>
  </si>
  <si>
    <t>Türkei</t>
  </si>
  <si>
    <t>Turchia</t>
  </si>
  <si>
    <t>Turquia</t>
  </si>
  <si>
    <t>Turquía</t>
  </si>
  <si>
    <t>Suède</t>
  </si>
  <si>
    <t>Schweden</t>
  </si>
  <si>
    <t>Svezia</t>
  </si>
  <si>
    <t>Suécia</t>
  </si>
  <si>
    <t>Suecia</t>
  </si>
  <si>
    <t>Iraq</t>
  </si>
  <si>
    <t>DR Congo</t>
  </si>
  <si>
    <t>You can also edit language translation in this tab</t>
  </si>
  <si>
    <t>PURCHASE UNPROTECTED SCHEDULE &amp; SCORESHEET. MORE MODELS. WORKS ON GOOGLE SPREADSHEET. CLICK HERE</t>
  </si>
  <si>
    <r>
      <t xml:space="preserve">WANNA PLAY PREDICTION GAME with YOUR FRIENDS? 
</t>
    </r>
    <r>
      <rPr>
        <b/>
        <sz val="9"/>
        <color theme="0"/>
        <rFont val="Calibri"/>
        <family val="2"/>
        <scheme val="minor"/>
      </rPr>
      <t>CLICK HERE TO GET PREDICTOR GAME SPREADSHEET</t>
    </r>
  </si>
  <si>
    <t>V2.61 - Initial release (04/01/26)</t>
  </si>
  <si>
    <t>2.62</t>
  </si>
  <si>
    <t>Select your time preference by adding or subtracting your local time with New York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</si>
</sst>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hh:mm;@"/>
    <numFmt numFmtId="165" formatCode="m/d/yy\ h:mm;@"/>
    <numFmt numFmtId="166" formatCode="[$-409]m/d/yy\ h:mm\ AM/PM;@"/>
  </numFmts>
  <fonts count="42" x14ac:knownFonts="1">
    <font>
      <sz val="10"/>
      <name val="Arial"/>
      <family val="2"/>
    </font>
    <font>
      <b/>
      <sz val="11"/>
      <color theme="0"/>
      <name val="Calibri"/>
      <family val="2"/>
      <scheme val="minor"/>
    </font>
    <font>
      <sz val="11"/>
      <color rgb="FFFF0000"/>
      <name val="Calibri"/>
      <family val="2"/>
      <scheme val="minor"/>
    </font>
    <font>
      <sz val="11"/>
      <color theme="0"/>
      <name val="Calibri"/>
      <family val="2"/>
      <scheme val="minor"/>
    </font>
    <font>
      <sz val="11"/>
      <name val="Calibri"/>
      <family val="2"/>
      <scheme val="minor"/>
    </font>
    <font>
      <sz val="11"/>
      <color indexed="10"/>
      <name val="Calibri"/>
      <family val="2"/>
      <scheme val="minor"/>
    </font>
    <font>
      <sz val="11"/>
      <color rgb="FFC00000"/>
      <name val="Calibri"/>
      <family val="2"/>
      <scheme val="minor"/>
    </font>
    <font>
      <b/>
      <sz val="28"/>
      <name val="Calibri"/>
      <family val="2"/>
      <scheme val="minor"/>
    </font>
    <font>
      <sz val="10"/>
      <name val="Calibri"/>
      <family val="2"/>
      <scheme val="minor"/>
    </font>
    <font>
      <i/>
      <sz val="11"/>
      <name val="Calibri"/>
      <family val="2"/>
      <scheme val="minor"/>
    </font>
    <font>
      <sz val="10"/>
      <color theme="0"/>
      <name val="Calibri"/>
      <family val="2"/>
      <scheme val="minor"/>
    </font>
    <font>
      <b/>
      <sz val="10"/>
      <color theme="0"/>
      <name val="Calibri"/>
      <family val="2"/>
      <scheme val="minor"/>
    </font>
    <font>
      <b/>
      <sz val="10"/>
      <name val="Calibri"/>
      <family val="2"/>
      <scheme val="minor"/>
    </font>
    <font>
      <sz val="18"/>
      <color theme="0"/>
      <name val="Calibri"/>
      <family val="2"/>
      <scheme val="minor"/>
    </font>
    <font>
      <b/>
      <sz val="11"/>
      <name val="Calibri"/>
      <family val="2"/>
      <scheme val="minor"/>
    </font>
    <font>
      <u/>
      <sz val="10"/>
      <color indexed="12"/>
      <name val="Arial"/>
      <family val="2"/>
    </font>
    <font>
      <sz val="10"/>
      <color rgb="FFFF0000"/>
      <name val="Arial"/>
      <family val="2"/>
    </font>
    <font>
      <b/>
      <sz val="14"/>
      <name val="Calibri"/>
      <family val="2"/>
      <scheme val="minor"/>
    </font>
    <font>
      <b/>
      <sz val="26"/>
      <name val="Calibri"/>
      <family val="2"/>
      <scheme val="minor"/>
    </font>
    <font>
      <u/>
      <sz val="11"/>
      <color indexed="12"/>
      <name val="Calibri"/>
      <family val="2"/>
      <scheme val="minor"/>
    </font>
    <font>
      <b/>
      <sz val="11"/>
      <color rgb="FFFF0000"/>
      <name val="Calibri"/>
      <family val="2"/>
      <scheme val="minor"/>
    </font>
    <font>
      <sz val="10"/>
      <name val="Arial"/>
      <family val="2"/>
    </font>
    <font>
      <b/>
      <sz val="22"/>
      <color theme="0"/>
      <name val="Calibri"/>
      <family val="2"/>
      <scheme val="minor"/>
    </font>
    <font>
      <u/>
      <sz val="11"/>
      <color theme="0"/>
      <name val="Calibri"/>
      <family val="2"/>
      <scheme val="minor"/>
    </font>
    <font>
      <sz val="11"/>
      <color theme="0" tint="-4.9989318521683403E-2"/>
      <name val="Calibri"/>
      <family val="2"/>
      <scheme val="minor"/>
    </font>
    <font>
      <b/>
      <sz val="22"/>
      <color rgb="FF00B050"/>
      <name val="Calibri"/>
      <family val="2"/>
      <scheme val="minor"/>
    </font>
    <font>
      <u/>
      <sz val="12"/>
      <color indexed="12"/>
      <name val="Calibri"/>
      <family val="2"/>
      <scheme val="minor"/>
    </font>
    <font>
      <sz val="11"/>
      <color theme="2" tint="-0.749992370372631"/>
      <name val="Calibri"/>
      <family val="2"/>
      <scheme val="minor"/>
    </font>
    <font>
      <sz val="11"/>
      <color theme="2" tint="-0.749992370372631"/>
      <name val="Wingdings 3"/>
      <family val="1"/>
      <charset val="2"/>
    </font>
    <font>
      <sz val="8"/>
      <name val="Arial"/>
      <family val="2"/>
    </font>
    <font>
      <b/>
      <sz val="14"/>
      <color theme="0"/>
      <name val="Calibri"/>
      <family val="2"/>
      <scheme val="minor"/>
    </font>
    <font>
      <b/>
      <sz val="32"/>
      <color theme="0"/>
      <name val="Calibri"/>
      <family val="2"/>
      <scheme val="minor"/>
    </font>
    <font>
      <i/>
      <sz val="11"/>
      <color theme="0"/>
      <name val="Calibri"/>
      <family val="2"/>
      <scheme val="minor"/>
    </font>
    <font>
      <sz val="9"/>
      <name val="Calibri"/>
      <family val="2"/>
      <scheme val="minor"/>
    </font>
    <font>
      <sz val="9"/>
      <color theme="0"/>
      <name val="Calibri"/>
      <family val="2"/>
      <scheme val="minor"/>
    </font>
    <font>
      <sz val="9"/>
      <name val="Arial Narrow"/>
      <family val="2"/>
    </font>
    <font>
      <i/>
      <sz val="11"/>
      <color theme="1" tint="0.499984740745262"/>
      <name val="Calibri"/>
      <family val="2"/>
      <scheme val="minor"/>
    </font>
    <font>
      <sz val="11"/>
      <color rgb="FF002060"/>
      <name val="Calibri"/>
      <family val="2"/>
      <scheme val="minor"/>
    </font>
    <font>
      <sz val="14"/>
      <color theme="0"/>
      <name val="Calibri"/>
      <family val="2"/>
      <scheme val="minor"/>
    </font>
    <font>
      <b/>
      <sz val="8"/>
      <color theme="0"/>
      <name val="Calibri"/>
      <family val="2"/>
      <scheme val="minor"/>
    </font>
    <font>
      <b/>
      <sz val="9"/>
      <color theme="0"/>
      <name val="Calibri"/>
      <family val="2"/>
      <scheme val="minor"/>
    </font>
    <font>
      <sz val="16"/>
      <color theme="0"/>
      <name val="Calibri"/>
      <family val="2"/>
      <scheme val="minor"/>
    </font>
  </fonts>
  <fills count="24">
    <fill>
      <patternFill patternType="none"/>
    </fill>
    <fill>
      <patternFill patternType="gray125"/>
    </fill>
    <fill>
      <patternFill patternType="solid">
        <fgColor theme="5" tint="-0.49998474074526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3"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79998168889431442"/>
        <bgColor indexed="64"/>
      </patternFill>
    </fill>
    <fill>
      <patternFill patternType="solid">
        <fgColor rgb="FF92D050"/>
        <bgColor indexed="64"/>
      </patternFill>
    </fill>
    <fill>
      <patternFill patternType="solid">
        <fgColor rgb="FF0070C0"/>
        <bgColor indexed="64"/>
      </patternFill>
    </fill>
    <fill>
      <patternFill patternType="solid">
        <fgColor theme="3" tint="0.59999389629810485"/>
        <bgColor indexed="64"/>
      </patternFill>
    </fill>
    <fill>
      <patternFill patternType="solid">
        <fgColor rgb="FF002060"/>
        <bgColor indexed="64"/>
      </patternFill>
    </fill>
    <fill>
      <patternFill patternType="solid">
        <fgColor theme="8" tint="0.39997558519241921"/>
        <bgColor indexed="64"/>
      </patternFill>
    </fill>
    <fill>
      <patternFill patternType="solid">
        <fgColor theme="7" tint="0.59999389629810485"/>
        <bgColor indexed="64"/>
      </patternFill>
    </fill>
    <fill>
      <patternFill patternType="solid">
        <fgColor rgb="FFC00000"/>
        <bgColor indexed="64"/>
      </patternFill>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top/>
      <bottom style="thin">
        <color indexed="64"/>
      </bottom>
      <diagonal/>
    </border>
    <border>
      <left style="thin">
        <color indexed="64"/>
      </left>
      <right/>
      <top/>
      <bottom/>
      <diagonal/>
    </border>
    <border>
      <left/>
      <right/>
      <top/>
      <bottom style="thick">
        <color theme="3"/>
      </bottom>
      <diagonal/>
    </border>
    <border>
      <left style="thin">
        <color rgb="FF00206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diagonal/>
    </border>
    <border>
      <left/>
      <right style="thin">
        <color rgb="FF002060"/>
      </right>
      <top/>
      <bottom/>
      <diagonal/>
    </border>
    <border>
      <left style="thin">
        <color rgb="FF00206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thin">
        <color theme="3" tint="0.79998168889431442"/>
      </left>
      <right style="thin">
        <color theme="3" tint="0.79998168889431442"/>
      </right>
      <top style="thin">
        <color theme="3" tint="0.79998168889431442"/>
      </top>
      <bottom style="thin">
        <color theme="3" tint="0.79998168889431442"/>
      </bottom>
      <diagonal/>
    </border>
    <border>
      <left style="thin">
        <color theme="3" tint="0.79998168889431442"/>
      </left>
      <right style="thin">
        <color theme="3" tint="0.79998168889431442"/>
      </right>
      <top/>
      <bottom/>
      <diagonal/>
    </border>
    <border>
      <left/>
      <right/>
      <top style="thin">
        <color rgb="FF0070C0"/>
      </top>
      <bottom style="thin">
        <color rgb="FF0070C0"/>
      </bottom>
      <diagonal/>
    </border>
    <border>
      <left style="thin">
        <color theme="3" tint="0.59996337778862885"/>
      </left>
      <right style="thin">
        <color theme="3" tint="0.59996337778862885"/>
      </right>
      <top style="thick">
        <color theme="3"/>
      </top>
      <bottom/>
      <diagonal/>
    </border>
    <border>
      <left style="thin">
        <color theme="3" tint="0.59996337778862885"/>
      </left>
      <right style="thin">
        <color theme="3" tint="0.59996337778862885"/>
      </right>
      <top/>
      <bottom/>
      <diagonal/>
    </border>
    <border>
      <left style="thin">
        <color theme="3" tint="0.59996337778862885"/>
      </left>
      <right style="thin">
        <color theme="3" tint="0.59996337778862885"/>
      </right>
      <top/>
      <bottom style="thin">
        <color rgb="FF0070C0"/>
      </bottom>
      <diagonal/>
    </border>
  </borders>
  <cellStyleXfs count="3">
    <xf numFmtId="0" fontId="0" fillId="0" borderId="0"/>
    <xf numFmtId="0" fontId="15" fillId="0" borderId="0" applyNumberFormat="0" applyFill="0" applyBorder="0" applyAlignment="0" applyProtection="0">
      <alignment vertical="top"/>
      <protection locked="0"/>
    </xf>
    <xf numFmtId="0" fontId="21" fillId="0" borderId="0"/>
  </cellStyleXfs>
  <cellXfs count="274">
    <xf numFmtId="0" fontId="0" fillId="0" borderId="0" xfId="0"/>
    <xf numFmtId="0" fontId="4" fillId="0" borderId="0" xfId="0" applyFont="1" applyAlignment="1" applyProtection="1">
      <alignment vertical="center"/>
      <protection hidden="1"/>
    </xf>
    <xf numFmtId="0" fontId="7" fillId="0" borderId="0" xfId="0" applyFont="1" applyAlignment="1" applyProtection="1">
      <alignment horizontal="left" vertical="center"/>
      <protection hidden="1"/>
    </xf>
    <xf numFmtId="0" fontId="4" fillId="0" borderId="0" xfId="0" applyFont="1" applyAlignment="1" applyProtection="1">
      <alignment vertical="center" wrapText="1"/>
      <protection hidden="1"/>
    </xf>
    <xf numFmtId="0" fontId="4" fillId="0" borderId="0" xfId="0" applyFont="1" applyAlignment="1" applyProtection="1">
      <alignment horizontal="right" vertical="center" indent="1"/>
      <protection hidden="1"/>
    </xf>
    <xf numFmtId="0" fontId="4" fillId="0" borderId="0" xfId="0" applyFont="1" applyAlignment="1" applyProtection="1">
      <alignment horizontal="left" vertical="center" indent="1"/>
      <protection hidden="1"/>
    </xf>
    <xf numFmtId="0" fontId="8" fillId="0" borderId="0" xfId="0" applyFont="1" applyAlignment="1" applyProtection="1">
      <alignment vertical="center"/>
      <protection hidden="1"/>
    </xf>
    <xf numFmtId="0" fontId="6" fillId="0" borderId="0" xfId="0" applyFont="1" applyAlignment="1" applyProtection="1">
      <alignment vertical="center"/>
      <protection hidden="1"/>
    </xf>
    <xf numFmtId="0" fontId="6" fillId="0" borderId="0" xfId="0" applyFont="1" applyAlignment="1" applyProtection="1">
      <alignment horizontal="left" vertical="center" indent="1"/>
      <protection hidden="1"/>
    </xf>
    <xf numFmtId="0" fontId="3" fillId="0" borderId="0" xfId="0" applyFont="1" applyAlignment="1" applyProtection="1">
      <alignment horizontal="center" vertical="center"/>
      <protection hidden="1"/>
    </xf>
    <xf numFmtId="0" fontId="2" fillId="0" borderId="0" xfId="0" applyFont="1" applyAlignment="1" applyProtection="1">
      <alignment vertical="center"/>
      <protection hidden="1"/>
    </xf>
    <xf numFmtId="0" fontId="5" fillId="0" borderId="0" xfId="0" applyFont="1" applyAlignment="1" applyProtection="1">
      <alignment vertical="center"/>
      <protection hidden="1"/>
    </xf>
    <xf numFmtId="0" fontId="4" fillId="0" borderId="0" xfId="0" applyFont="1" applyAlignment="1" applyProtection="1">
      <alignment horizontal="center" vertical="center"/>
      <protection hidden="1"/>
    </xf>
    <xf numFmtId="0" fontId="4" fillId="0" borderId="1" xfId="0" applyFont="1" applyBorder="1" applyAlignment="1" applyProtection="1">
      <alignment vertical="center"/>
      <protection locked="0"/>
    </xf>
    <xf numFmtId="0" fontId="1" fillId="0" borderId="0" xfId="0" applyFont="1" applyAlignment="1" applyProtection="1">
      <alignment vertical="center"/>
      <protection hidden="1"/>
    </xf>
    <xf numFmtId="0" fontId="4" fillId="0" borderId="1" xfId="0" applyFont="1" applyBorder="1" applyAlignment="1" applyProtection="1">
      <alignment horizontal="left" vertical="center" indent="1"/>
      <protection hidden="1"/>
    </xf>
    <xf numFmtId="0" fontId="4" fillId="0" borderId="1" xfId="0" applyFont="1" applyBorder="1" applyAlignment="1" applyProtection="1">
      <alignment horizontal="center" vertical="center"/>
      <protection locked="0"/>
    </xf>
    <xf numFmtId="0" fontId="7" fillId="0" borderId="0" xfId="0" applyFont="1" applyAlignment="1" applyProtection="1">
      <alignment vertical="center"/>
      <protection hidden="1"/>
    </xf>
    <xf numFmtId="0" fontId="10" fillId="0" borderId="0" xfId="0" applyFont="1" applyAlignment="1" applyProtection="1">
      <alignment vertical="center"/>
      <protection hidden="1"/>
    </xf>
    <xf numFmtId="0" fontId="4" fillId="0" borderId="0" xfId="0" applyFont="1" applyProtection="1">
      <protection hidden="1"/>
    </xf>
    <xf numFmtId="0" fontId="14" fillId="0" borderId="0" xfId="0" applyFont="1" applyProtection="1">
      <protection hidden="1"/>
    </xf>
    <xf numFmtId="0" fontId="4" fillId="0" borderId="0" xfId="0" applyFont="1" applyAlignment="1" applyProtection="1">
      <alignment horizontal="right" indent="1"/>
      <protection hidden="1"/>
    </xf>
    <xf numFmtId="0" fontId="4" fillId="0" borderId="0" xfId="0" applyFont="1" applyAlignment="1" applyProtection="1">
      <alignment horizontal="left" indent="1"/>
      <protection hidden="1"/>
    </xf>
    <xf numFmtId="0" fontId="4" fillId="0" borderId="0" xfId="0" applyFont="1"/>
    <xf numFmtId="0" fontId="4" fillId="0" borderId="1" xfId="0" applyFont="1" applyBorder="1" applyProtection="1">
      <protection hidden="1"/>
    </xf>
    <xf numFmtId="0" fontId="4" fillId="0" borderId="1" xfId="0" applyFont="1" applyBorder="1"/>
    <xf numFmtId="0" fontId="4" fillId="0" borderId="5" xfId="0" applyFont="1" applyBorder="1" applyAlignment="1" applyProtection="1">
      <alignment horizontal="center" vertical="center"/>
      <protection locked="0"/>
    </xf>
    <xf numFmtId="0" fontId="0" fillId="0" borderId="0" xfId="0" applyAlignment="1">
      <alignment vertical="center"/>
    </xf>
    <xf numFmtId="0" fontId="16" fillId="0" borderId="0" xfId="0" applyFont="1" applyAlignment="1">
      <alignment vertical="center"/>
    </xf>
    <xf numFmtId="0" fontId="14" fillId="0" borderId="6" xfId="0" applyFont="1" applyBorder="1" applyAlignment="1" applyProtection="1">
      <alignment vertical="center"/>
      <protection hidden="1"/>
    </xf>
    <xf numFmtId="0" fontId="4" fillId="0" borderId="6" xfId="0" applyFont="1" applyBorder="1" applyAlignment="1" applyProtection="1">
      <alignment vertical="center"/>
      <protection hidden="1"/>
    </xf>
    <xf numFmtId="0" fontId="9" fillId="0" borderId="6" xfId="0" applyFont="1" applyBorder="1" applyAlignment="1" applyProtection="1">
      <alignment horizontal="right" vertical="center"/>
      <protection hidden="1"/>
    </xf>
    <xf numFmtId="0" fontId="6" fillId="2" borderId="0" xfId="0" applyFont="1" applyFill="1" applyAlignment="1" applyProtection="1">
      <alignment vertical="center"/>
      <protection hidden="1"/>
    </xf>
    <xf numFmtId="0" fontId="19" fillId="0" borderId="6" xfId="1" applyFont="1" applyBorder="1" applyAlignment="1" applyProtection="1">
      <alignment vertical="center"/>
      <protection hidden="1"/>
    </xf>
    <xf numFmtId="0" fontId="20" fillId="0" borderId="0" xfId="0" applyFont="1" applyAlignment="1" applyProtection="1">
      <alignment vertical="center"/>
      <protection hidden="1"/>
    </xf>
    <xf numFmtId="0" fontId="3" fillId="11" borderId="0" xfId="0" applyFont="1" applyFill="1"/>
    <xf numFmtId="0" fontId="1" fillId="11" borderId="0" xfId="2" applyFont="1" applyFill="1" applyAlignment="1">
      <alignment vertical="center"/>
    </xf>
    <xf numFmtId="0" fontId="22" fillId="11" borderId="0" xfId="0" applyFont="1" applyFill="1"/>
    <xf numFmtId="0" fontId="1" fillId="11" borderId="0" xfId="0" applyFont="1" applyFill="1" applyAlignment="1">
      <alignment vertical="center"/>
    </xf>
    <xf numFmtId="0" fontId="1" fillId="11" borderId="0" xfId="0" applyFont="1" applyFill="1"/>
    <xf numFmtId="0" fontId="0" fillId="11" borderId="0" xfId="0" applyFill="1"/>
    <xf numFmtId="0" fontId="3" fillId="11" borderId="0" xfId="0" quotePrefix="1" applyFont="1" applyFill="1" applyAlignment="1">
      <alignment horizontal="left"/>
    </xf>
    <xf numFmtId="0" fontId="23" fillId="11" borderId="0" xfId="0" applyFont="1" applyFill="1"/>
    <xf numFmtId="0" fontId="23" fillId="11" borderId="0" xfId="1" applyFont="1" applyFill="1" applyBorder="1" applyAlignment="1" applyProtection="1"/>
    <xf numFmtId="0" fontId="24" fillId="11" borderId="0" xfId="0" applyFont="1" applyFill="1" applyAlignment="1">
      <alignment horizontal="left"/>
    </xf>
    <xf numFmtId="0" fontId="8" fillId="0" borderId="0" xfId="0" applyFont="1"/>
    <xf numFmtId="0" fontId="4" fillId="3" borderId="7" xfId="0" applyFont="1" applyFill="1" applyBorder="1"/>
    <xf numFmtId="0" fontId="14" fillId="3" borderId="7" xfId="2" applyFont="1" applyFill="1" applyBorder="1" applyAlignment="1">
      <alignment vertical="center"/>
    </xf>
    <xf numFmtId="0" fontId="4" fillId="0" borderId="0" xfId="0" applyFont="1" applyAlignment="1" applyProtection="1">
      <alignment vertical="center"/>
      <protection locked="0"/>
    </xf>
    <xf numFmtId="0" fontId="4" fillId="0" borderId="1" xfId="0" applyFont="1" applyBorder="1" applyAlignment="1" applyProtection="1">
      <alignment horizontal="center" vertical="center"/>
      <protection hidden="1"/>
    </xf>
    <xf numFmtId="0" fontId="27" fillId="0" borderId="0" xfId="0" applyFont="1" applyAlignment="1" applyProtection="1">
      <alignment horizontal="center" vertical="center"/>
      <protection hidden="1"/>
    </xf>
    <xf numFmtId="0" fontId="27" fillId="0" borderId="0" xfId="0" applyFont="1" applyAlignment="1" applyProtection="1">
      <alignment horizontal="center" vertical="center" wrapText="1"/>
      <protection hidden="1"/>
    </xf>
    <xf numFmtId="0" fontId="28" fillId="0" borderId="0" xfId="0" applyFont="1" applyAlignment="1" applyProtection="1">
      <alignment horizontal="center" vertical="center"/>
      <protection hidden="1"/>
    </xf>
    <xf numFmtId="0" fontId="4" fillId="4" borderId="1" xfId="0" applyFont="1" applyFill="1" applyBorder="1" applyAlignment="1" applyProtection="1">
      <alignment horizontal="center" vertical="center"/>
      <protection hidden="1"/>
    </xf>
    <xf numFmtId="0" fontId="4" fillId="4" borderId="1" xfId="0" applyFont="1" applyFill="1" applyBorder="1" applyAlignment="1" applyProtection="1">
      <alignment vertical="center"/>
      <protection locked="0"/>
    </xf>
    <xf numFmtId="0" fontId="11" fillId="17" borderId="9" xfId="0" applyFont="1" applyFill="1" applyBorder="1" applyAlignment="1" applyProtection="1">
      <alignment horizontal="left" vertical="center"/>
      <protection hidden="1"/>
    </xf>
    <xf numFmtId="0" fontId="11" fillId="17" borderId="9" xfId="0" applyFont="1" applyFill="1" applyBorder="1" applyAlignment="1" applyProtection="1">
      <alignment horizontal="center" vertical="center"/>
      <protection hidden="1"/>
    </xf>
    <xf numFmtId="0" fontId="11" fillId="17" borderId="9" xfId="0" applyFont="1" applyFill="1" applyBorder="1" applyAlignment="1" applyProtection="1">
      <alignment horizontal="right" vertical="center" indent="1"/>
      <protection hidden="1"/>
    </xf>
    <xf numFmtId="0" fontId="11" fillId="17" borderId="9" xfId="0" applyFont="1" applyFill="1" applyBorder="1" applyAlignment="1" applyProtection="1">
      <alignment horizontal="left" vertical="center" indent="1"/>
      <protection hidden="1"/>
    </xf>
    <xf numFmtId="0" fontId="4" fillId="19" borderId="0" xfId="0" applyFont="1" applyFill="1" applyProtection="1">
      <protection hidden="1"/>
    </xf>
    <xf numFmtId="0" fontId="4" fillId="19" borderId="0" xfId="0" applyFont="1" applyFill="1" applyAlignment="1" applyProtection="1">
      <alignment vertical="center"/>
      <protection hidden="1"/>
    </xf>
    <xf numFmtId="0" fontId="4" fillId="19" borderId="0" xfId="0" applyFont="1" applyFill="1" applyAlignment="1" applyProtection="1">
      <alignment horizontal="right" vertical="center" indent="1"/>
      <protection hidden="1"/>
    </xf>
    <xf numFmtId="0" fontId="4" fillId="19" borderId="0" xfId="0" applyFont="1" applyFill="1" applyAlignment="1" applyProtection="1">
      <alignment horizontal="left" vertical="center" indent="1"/>
      <protection hidden="1"/>
    </xf>
    <xf numFmtId="0" fontId="5" fillId="19" borderId="0" xfId="0" applyFont="1" applyFill="1" applyProtection="1">
      <protection hidden="1"/>
    </xf>
    <xf numFmtId="0" fontId="6" fillId="19" borderId="0" xfId="0" applyFont="1" applyFill="1" applyAlignment="1" applyProtection="1">
      <alignment vertical="center"/>
      <protection hidden="1"/>
    </xf>
    <xf numFmtId="0" fontId="4" fillId="19" borderId="0" xfId="0" applyFont="1" applyFill="1" applyAlignment="1" applyProtection="1">
      <alignment horizontal="right" indent="1"/>
      <protection hidden="1"/>
    </xf>
    <xf numFmtId="0" fontId="4" fillId="19" borderId="0" xfId="0" applyFont="1" applyFill="1" applyAlignment="1" applyProtection="1">
      <alignment horizontal="left" indent="1"/>
      <protection hidden="1"/>
    </xf>
    <xf numFmtId="0" fontId="6" fillId="19" borderId="0" xfId="0" applyFont="1" applyFill="1" applyProtection="1">
      <protection hidden="1"/>
    </xf>
    <xf numFmtId="0" fontId="12" fillId="5" borderId="0" xfId="0" applyFont="1" applyFill="1" applyAlignment="1" applyProtection="1">
      <alignment horizontal="center" vertical="center"/>
      <protection hidden="1"/>
    </xf>
    <xf numFmtId="0" fontId="8" fillId="0" borderId="0" xfId="0" applyFont="1" applyAlignment="1" applyProtection="1">
      <alignment horizontal="center" vertical="center"/>
      <protection hidden="1"/>
    </xf>
    <xf numFmtId="0" fontId="12" fillId="6" borderId="0" xfId="0" applyFont="1" applyFill="1" applyAlignment="1" applyProtection="1">
      <alignment horizontal="center" vertical="center"/>
      <protection hidden="1"/>
    </xf>
    <xf numFmtId="0" fontId="12" fillId="7" borderId="0" xfId="0" applyFont="1" applyFill="1" applyAlignment="1" applyProtection="1">
      <alignment horizontal="center" vertical="center"/>
      <protection hidden="1"/>
    </xf>
    <xf numFmtId="0" fontId="12" fillId="8" borderId="0" xfId="0" applyFont="1" applyFill="1" applyAlignment="1" applyProtection="1">
      <alignment horizontal="center" vertical="center"/>
      <protection hidden="1"/>
    </xf>
    <xf numFmtId="0" fontId="12" fillId="15" borderId="0" xfId="0" applyFont="1" applyFill="1" applyAlignment="1" applyProtection="1">
      <alignment horizontal="center" vertical="center"/>
      <protection hidden="1"/>
    </xf>
    <xf numFmtId="0" fontId="12" fillId="9" borderId="0" xfId="0" applyFont="1" applyFill="1" applyAlignment="1" applyProtection="1">
      <alignment horizontal="center" vertical="center"/>
      <protection hidden="1"/>
    </xf>
    <xf numFmtId="0" fontId="12" fillId="12" borderId="0" xfId="0" applyFont="1" applyFill="1" applyAlignment="1" applyProtection="1">
      <alignment horizontal="center" vertical="center"/>
      <protection hidden="1"/>
    </xf>
    <xf numFmtId="0" fontId="12" fillId="10" borderId="0" xfId="0" applyFont="1" applyFill="1" applyAlignment="1" applyProtection="1">
      <alignment horizontal="center" vertical="center"/>
      <protection hidden="1"/>
    </xf>
    <xf numFmtId="0" fontId="12" fillId="3" borderId="0" xfId="0" applyFont="1" applyFill="1" applyAlignment="1" applyProtection="1">
      <alignment horizontal="center" vertical="center"/>
      <protection hidden="1"/>
    </xf>
    <xf numFmtId="0" fontId="12" fillId="13" borderId="0" xfId="0" applyFont="1" applyFill="1" applyAlignment="1" applyProtection="1">
      <alignment horizontal="center" vertical="center"/>
      <protection hidden="1"/>
    </xf>
    <xf numFmtId="0" fontId="12" fillId="14" borderId="0" xfId="0" applyFont="1" applyFill="1" applyAlignment="1" applyProtection="1">
      <alignment horizontal="center" vertical="center"/>
      <protection hidden="1"/>
    </xf>
    <xf numFmtId="0" fontId="12" fillId="16" borderId="0" xfId="0" applyFont="1" applyFill="1" applyAlignment="1" applyProtection="1">
      <alignment horizontal="center" vertical="center"/>
      <protection hidden="1"/>
    </xf>
    <xf numFmtId="0" fontId="12" fillId="5" borderId="0" xfId="0" applyFont="1" applyFill="1" applyAlignment="1" applyProtection="1">
      <alignment horizontal="left" vertical="center"/>
      <protection locked="0" hidden="1"/>
    </xf>
    <xf numFmtId="0" fontId="8" fillId="0" borderId="0" xfId="0" applyFont="1" applyAlignment="1" applyProtection="1">
      <alignment horizontal="left" vertical="center"/>
      <protection locked="0" hidden="1"/>
    </xf>
    <xf numFmtId="0" fontId="12" fillId="0" borderId="0" xfId="0" applyFont="1" applyAlignment="1" applyProtection="1">
      <alignment horizontal="center" vertical="center"/>
      <protection hidden="1"/>
    </xf>
    <xf numFmtId="0" fontId="8" fillId="0" borderId="0" xfId="0" applyFont="1" applyAlignment="1" applyProtection="1">
      <alignment horizontal="left" vertical="center"/>
      <protection hidden="1"/>
    </xf>
    <xf numFmtId="0" fontId="12" fillId="6" borderId="0" xfId="0" applyFont="1" applyFill="1" applyAlignment="1" applyProtection="1">
      <alignment horizontal="left" vertical="center"/>
      <protection locked="0" hidden="1"/>
    </xf>
    <xf numFmtId="0" fontId="12" fillId="7" borderId="0" xfId="0" applyFont="1" applyFill="1" applyAlignment="1" applyProtection="1">
      <alignment horizontal="left" vertical="center"/>
      <protection locked="0" hidden="1"/>
    </xf>
    <xf numFmtId="0" fontId="12" fillId="8" borderId="0" xfId="0" applyFont="1" applyFill="1" applyAlignment="1" applyProtection="1">
      <alignment horizontal="left" vertical="center"/>
      <protection locked="0" hidden="1"/>
    </xf>
    <xf numFmtId="0" fontId="12" fillId="15" borderId="0" xfId="0" applyFont="1" applyFill="1" applyAlignment="1" applyProtection="1">
      <alignment horizontal="left" vertical="center"/>
      <protection locked="0" hidden="1"/>
    </xf>
    <xf numFmtId="0" fontId="12" fillId="9" borderId="0" xfId="0" applyFont="1" applyFill="1" applyAlignment="1" applyProtection="1">
      <alignment horizontal="left" vertical="center"/>
      <protection locked="0" hidden="1"/>
    </xf>
    <xf numFmtId="0" fontId="12" fillId="12" borderId="0" xfId="0" applyFont="1" applyFill="1" applyAlignment="1" applyProtection="1">
      <alignment horizontal="left" vertical="center"/>
      <protection locked="0" hidden="1"/>
    </xf>
    <xf numFmtId="0" fontId="12" fillId="10" borderId="0" xfId="0" applyFont="1" applyFill="1" applyAlignment="1" applyProtection="1">
      <alignment horizontal="left" vertical="center"/>
      <protection locked="0" hidden="1"/>
    </xf>
    <xf numFmtId="0" fontId="12" fillId="3" borderId="0" xfId="0" applyFont="1" applyFill="1" applyAlignment="1" applyProtection="1">
      <alignment horizontal="left" vertical="center"/>
      <protection locked="0" hidden="1"/>
    </xf>
    <xf numFmtId="0" fontId="12" fillId="13" borderId="0" xfId="0" applyFont="1" applyFill="1" applyAlignment="1" applyProtection="1">
      <alignment horizontal="left" vertical="center"/>
      <protection locked="0" hidden="1"/>
    </xf>
    <xf numFmtId="0" fontId="12" fillId="14" borderId="0" xfId="0" applyFont="1" applyFill="1" applyAlignment="1" applyProtection="1">
      <alignment horizontal="left" vertical="center"/>
      <protection locked="0" hidden="1"/>
    </xf>
    <xf numFmtId="0" fontId="12" fillId="16" borderId="0" xfId="0" applyFont="1" applyFill="1" applyAlignment="1" applyProtection="1">
      <alignment horizontal="left" vertical="center"/>
      <protection locked="0" hidden="1"/>
    </xf>
    <xf numFmtId="0" fontId="5" fillId="0" borderId="0" xfId="0" applyFont="1" applyProtection="1">
      <protection hidden="1"/>
    </xf>
    <xf numFmtId="0" fontId="3" fillId="19" borderId="0" xfId="0" applyFont="1" applyFill="1" applyProtection="1">
      <protection hidden="1"/>
    </xf>
    <xf numFmtId="0" fontId="3" fillId="19" borderId="0" xfId="0" applyFont="1" applyFill="1" applyAlignment="1" applyProtection="1">
      <alignment vertical="center"/>
      <protection hidden="1"/>
    </xf>
    <xf numFmtId="0" fontId="1" fillId="19" borderId="0" xfId="0" applyFont="1" applyFill="1" applyAlignment="1" applyProtection="1">
      <alignment vertical="center"/>
      <protection hidden="1"/>
    </xf>
    <xf numFmtId="0" fontId="3" fillId="19" borderId="0" xfId="0" applyFont="1" applyFill="1" applyAlignment="1" applyProtection="1">
      <alignment horizontal="right" vertical="center" indent="1"/>
      <protection hidden="1"/>
    </xf>
    <xf numFmtId="0" fontId="5" fillId="19" borderId="0" xfId="0" applyFont="1" applyFill="1" applyAlignment="1" applyProtection="1">
      <alignment vertical="center"/>
      <protection hidden="1"/>
    </xf>
    <xf numFmtId="0" fontId="32" fillId="19" borderId="0" xfId="0" applyFont="1" applyFill="1" applyAlignment="1" applyProtection="1">
      <alignment vertical="center"/>
      <protection hidden="1"/>
    </xf>
    <xf numFmtId="0" fontId="23" fillId="19" borderId="0" xfId="1" applyFont="1" applyFill="1" applyBorder="1" applyAlignment="1" applyProtection="1">
      <alignment horizontal="left" vertical="center"/>
      <protection hidden="1"/>
    </xf>
    <xf numFmtId="0" fontId="3" fillId="19" borderId="0" xfId="0" applyFont="1" applyFill="1" applyAlignment="1" applyProtection="1">
      <alignment horizontal="center" vertical="center"/>
      <protection hidden="1"/>
    </xf>
    <xf numFmtId="0" fontId="3" fillId="19" borderId="0" xfId="0" applyFont="1" applyFill="1" applyAlignment="1" applyProtection="1">
      <alignment vertical="center" wrapText="1"/>
      <protection hidden="1"/>
    </xf>
    <xf numFmtId="0" fontId="3" fillId="19" borderId="0" xfId="0" applyFont="1" applyFill="1" applyAlignment="1" applyProtection="1">
      <alignment horizontal="right" indent="1"/>
      <protection hidden="1"/>
    </xf>
    <xf numFmtId="0" fontId="3" fillId="19" borderId="0" xfId="0" applyFont="1" applyFill="1" applyAlignment="1" applyProtection="1">
      <alignment wrapText="1"/>
      <protection hidden="1"/>
    </xf>
    <xf numFmtId="0" fontId="4" fillId="19" borderId="0" xfId="0" applyFont="1" applyFill="1" applyAlignment="1" applyProtection="1">
      <alignment horizontal="center"/>
      <protection hidden="1"/>
    </xf>
    <xf numFmtId="0" fontId="11" fillId="19" borderId="0" xfId="0" applyFont="1" applyFill="1" applyAlignment="1" applyProtection="1">
      <alignment horizontal="right" vertical="center" wrapText="1"/>
      <protection hidden="1"/>
    </xf>
    <xf numFmtId="0" fontId="31" fillId="19" borderId="0" xfId="0" applyFont="1" applyFill="1" applyAlignment="1" applyProtection="1">
      <alignment vertical="center" wrapText="1"/>
      <protection hidden="1"/>
    </xf>
    <xf numFmtId="0" fontId="8" fillId="19" borderId="0" xfId="0" applyFont="1" applyFill="1" applyAlignment="1" applyProtection="1">
      <alignment vertical="center"/>
      <protection hidden="1"/>
    </xf>
    <xf numFmtId="0" fontId="11" fillId="19" borderId="0" xfId="0" applyFont="1" applyFill="1" applyAlignment="1" applyProtection="1">
      <alignment vertical="center"/>
      <protection hidden="1"/>
    </xf>
    <xf numFmtId="0" fontId="11" fillId="19" borderId="0" xfId="0" applyFont="1" applyFill="1" applyAlignment="1" applyProtection="1">
      <alignment horizontal="center" vertical="center"/>
      <protection hidden="1"/>
    </xf>
    <xf numFmtId="0" fontId="11" fillId="19" borderId="0" xfId="0" applyFont="1" applyFill="1" applyAlignment="1" applyProtection="1">
      <alignment horizontal="left" vertical="center" indent="1"/>
      <protection hidden="1"/>
    </xf>
    <xf numFmtId="0" fontId="12" fillId="5" borderId="10" xfId="0" applyFont="1" applyFill="1" applyBorder="1" applyAlignment="1" applyProtection="1">
      <alignment horizontal="center" vertical="center"/>
      <protection hidden="1"/>
    </xf>
    <xf numFmtId="0" fontId="12" fillId="5" borderId="11" xfId="0" applyFont="1" applyFill="1" applyBorder="1" applyAlignment="1" applyProtection="1">
      <alignment horizontal="left" vertical="center"/>
      <protection locked="0" hidden="1"/>
    </xf>
    <xf numFmtId="0" fontId="12" fillId="5" borderId="11" xfId="0" applyFont="1" applyFill="1" applyBorder="1" applyAlignment="1" applyProtection="1">
      <alignment horizontal="center" vertical="center"/>
      <protection hidden="1"/>
    </xf>
    <xf numFmtId="0" fontId="12" fillId="5" borderId="12" xfId="0" applyFont="1" applyFill="1" applyBorder="1" applyAlignment="1" applyProtection="1">
      <alignment horizontal="center" vertical="center"/>
      <protection hidden="1"/>
    </xf>
    <xf numFmtId="0" fontId="12" fillId="5" borderId="13" xfId="0" applyFont="1" applyFill="1" applyBorder="1" applyAlignment="1" applyProtection="1">
      <alignment horizontal="center" vertical="center"/>
      <protection hidden="1"/>
    </xf>
    <xf numFmtId="0" fontId="12" fillId="5" borderId="14" xfId="0" applyFont="1" applyFill="1" applyBorder="1" applyAlignment="1" applyProtection="1">
      <alignment horizontal="center" vertical="center"/>
      <protection hidden="1"/>
    </xf>
    <xf numFmtId="0" fontId="8" fillId="0" borderId="13" xfId="0" applyFont="1" applyBorder="1" applyAlignment="1" applyProtection="1">
      <alignment horizontal="center" vertical="center"/>
      <protection hidden="1"/>
    </xf>
    <xf numFmtId="0" fontId="8" fillId="0" borderId="14" xfId="0" applyFont="1" applyBorder="1" applyAlignment="1" applyProtection="1">
      <alignment horizontal="center" vertical="center"/>
      <protection hidden="1"/>
    </xf>
    <xf numFmtId="0" fontId="10" fillId="0" borderId="15" xfId="0" applyFont="1" applyBorder="1" applyAlignment="1" applyProtection="1">
      <alignment vertical="center"/>
      <protection hidden="1"/>
    </xf>
    <xf numFmtId="0" fontId="8" fillId="0" borderId="16" xfId="0" applyFont="1" applyBorder="1" applyAlignment="1" applyProtection="1">
      <alignment horizontal="left" vertical="center"/>
      <protection hidden="1"/>
    </xf>
    <xf numFmtId="0" fontId="8" fillId="0" borderId="16" xfId="0" applyFont="1" applyBorder="1" applyAlignment="1" applyProtection="1">
      <alignment vertical="center"/>
      <protection hidden="1"/>
    </xf>
    <xf numFmtId="0" fontId="8" fillId="0" borderId="17" xfId="0" applyFont="1" applyBorder="1" applyAlignment="1" applyProtection="1">
      <alignment vertical="center"/>
      <protection hidden="1"/>
    </xf>
    <xf numFmtId="0" fontId="11" fillId="19" borderId="10" xfId="0" applyFont="1" applyFill="1" applyBorder="1" applyAlignment="1" applyProtection="1">
      <alignment vertical="center"/>
      <protection hidden="1"/>
    </xf>
    <xf numFmtId="0" fontId="11" fillId="19" borderId="11" xfId="0" applyFont="1" applyFill="1" applyBorder="1" applyAlignment="1" applyProtection="1">
      <alignment vertical="center"/>
      <protection hidden="1"/>
    </xf>
    <xf numFmtId="0" fontId="11" fillId="19" borderId="11" xfId="0" applyFont="1" applyFill="1" applyBorder="1" applyAlignment="1" applyProtection="1">
      <alignment horizontal="center" vertical="center"/>
      <protection hidden="1"/>
    </xf>
    <xf numFmtId="0" fontId="11" fillId="19" borderId="12" xfId="0" applyFont="1" applyFill="1" applyBorder="1" applyAlignment="1" applyProtection="1">
      <alignment horizontal="center" vertical="center"/>
      <protection hidden="1"/>
    </xf>
    <xf numFmtId="0" fontId="11" fillId="19" borderId="13" xfId="0" applyFont="1" applyFill="1" applyBorder="1" applyAlignment="1" applyProtection="1">
      <alignment horizontal="left" vertical="center" indent="1"/>
      <protection hidden="1"/>
    </xf>
    <xf numFmtId="0" fontId="11" fillId="19" borderId="14" xfId="0" applyFont="1" applyFill="1" applyBorder="1" applyAlignment="1" applyProtection="1">
      <alignment horizontal="center" vertical="center"/>
      <protection hidden="1"/>
    </xf>
    <xf numFmtId="0" fontId="12" fillId="6" borderId="13" xfId="0" applyFont="1" applyFill="1" applyBorder="1" applyAlignment="1" applyProtection="1">
      <alignment horizontal="center" vertical="center"/>
      <protection hidden="1"/>
    </xf>
    <xf numFmtId="0" fontId="12" fillId="6" borderId="14" xfId="0" applyFont="1" applyFill="1" applyBorder="1" applyAlignment="1" applyProtection="1">
      <alignment horizontal="center" vertical="center"/>
      <protection hidden="1"/>
    </xf>
    <xf numFmtId="0" fontId="10" fillId="0" borderId="13" xfId="0" applyFont="1" applyBorder="1" applyAlignment="1" applyProtection="1">
      <alignment vertical="center"/>
      <protection hidden="1"/>
    </xf>
    <xf numFmtId="0" fontId="8" fillId="0" borderId="14" xfId="0" applyFont="1" applyBorder="1" applyAlignment="1" applyProtection="1">
      <alignment vertical="center"/>
      <protection hidden="1"/>
    </xf>
    <xf numFmtId="0" fontId="12" fillId="7" borderId="13" xfId="0" applyFont="1" applyFill="1" applyBorder="1" applyAlignment="1" applyProtection="1">
      <alignment horizontal="center" vertical="center"/>
      <protection hidden="1"/>
    </xf>
    <xf numFmtId="0" fontId="12" fillId="7" borderId="14" xfId="0" applyFont="1" applyFill="1" applyBorder="1" applyAlignment="1" applyProtection="1">
      <alignment horizontal="center" vertical="center"/>
      <protection hidden="1"/>
    </xf>
    <xf numFmtId="0" fontId="12" fillId="8" borderId="13" xfId="0" applyFont="1" applyFill="1" applyBorder="1" applyAlignment="1" applyProtection="1">
      <alignment horizontal="center" vertical="center"/>
      <protection hidden="1"/>
    </xf>
    <xf numFmtId="0" fontId="12" fillId="8" borderId="14" xfId="0" applyFont="1" applyFill="1" applyBorder="1" applyAlignment="1" applyProtection="1">
      <alignment horizontal="center" vertical="center"/>
      <protection hidden="1"/>
    </xf>
    <xf numFmtId="0" fontId="12" fillId="15" borderId="13" xfId="0" applyFont="1" applyFill="1" applyBorder="1" applyAlignment="1" applyProtection="1">
      <alignment horizontal="center" vertical="center"/>
      <protection hidden="1"/>
    </xf>
    <xf numFmtId="0" fontId="12" fillId="15" borderId="14" xfId="0" applyFont="1" applyFill="1" applyBorder="1" applyAlignment="1" applyProtection="1">
      <alignment horizontal="center" vertical="center"/>
      <protection hidden="1"/>
    </xf>
    <xf numFmtId="0" fontId="12" fillId="9" borderId="13" xfId="0" applyFont="1" applyFill="1" applyBorder="1" applyAlignment="1" applyProtection="1">
      <alignment horizontal="center" vertical="center"/>
      <protection hidden="1"/>
    </xf>
    <xf numFmtId="0" fontId="12" fillId="9" borderId="14" xfId="0" applyFont="1" applyFill="1" applyBorder="1" applyAlignment="1" applyProtection="1">
      <alignment horizontal="center" vertical="center"/>
      <protection hidden="1"/>
    </xf>
    <xf numFmtId="0" fontId="12" fillId="12" borderId="13" xfId="0" applyFont="1" applyFill="1" applyBorder="1" applyAlignment="1" applyProtection="1">
      <alignment horizontal="center" vertical="center"/>
      <protection hidden="1"/>
    </xf>
    <xf numFmtId="0" fontId="12" fillId="12" borderId="14" xfId="0" applyFont="1" applyFill="1" applyBorder="1" applyAlignment="1" applyProtection="1">
      <alignment horizontal="center" vertical="center"/>
      <protection hidden="1"/>
    </xf>
    <xf numFmtId="0" fontId="12" fillId="10" borderId="13" xfId="0" applyFont="1" applyFill="1" applyBorder="1" applyAlignment="1" applyProtection="1">
      <alignment horizontal="center" vertical="center"/>
      <protection hidden="1"/>
    </xf>
    <xf numFmtId="0" fontId="12" fillId="10" borderId="14" xfId="0" applyFont="1" applyFill="1" applyBorder="1" applyAlignment="1" applyProtection="1">
      <alignment horizontal="center" vertical="center"/>
      <protection hidden="1"/>
    </xf>
    <xf numFmtId="0" fontId="8" fillId="0" borderId="13" xfId="0" applyFont="1" applyBorder="1" applyAlignment="1" applyProtection="1">
      <alignment vertical="center"/>
      <protection hidden="1"/>
    </xf>
    <xf numFmtId="0" fontId="4" fillId="0" borderId="14" xfId="0" applyFont="1" applyBorder="1" applyAlignment="1" applyProtection="1">
      <alignment vertical="center"/>
      <protection hidden="1"/>
    </xf>
    <xf numFmtId="0" fontId="12" fillId="3" borderId="13" xfId="0" applyFont="1" applyFill="1" applyBorder="1" applyAlignment="1" applyProtection="1">
      <alignment horizontal="center" vertical="center"/>
      <protection hidden="1"/>
    </xf>
    <xf numFmtId="0" fontId="12" fillId="3" borderId="14" xfId="0" applyFont="1" applyFill="1" applyBorder="1" applyAlignment="1" applyProtection="1">
      <alignment horizontal="center" vertical="center"/>
      <protection hidden="1"/>
    </xf>
    <xf numFmtId="0" fontId="12" fillId="13" borderId="13" xfId="0" applyFont="1" applyFill="1" applyBorder="1" applyAlignment="1" applyProtection="1">
      <alignment horizontal="center" vertical="center"/>
      <protection hidden="1"/>
    </xf>
    <xf numFmtId="0" fontId="12" fillId="13" borderId="14" xfId="0" applyFont="1" applyFill="1" applyBorder="1" applyAlignment="1" applyProtection="1">
      <alignment horizontal="center" vertical="center"/>
      <protection hidden="1"/>
    </xf>
    <xf numFmtId="0" fontId="12" fillId="14" borderId="13" xfId="0" applyFont="1" applyFill="1" applyBorder="1" applyAlignment="1" applyProtection="1">
      <alignment horizontal="center" vertical="center"/>
      <protection hidden="1"/>
    </xf>
    <xf numFmtId="0" fontId="12" fillId="14" borderId="14" xfId="0" applyFont="1" applyFill="1" applyBorder="1" applyAlignment="1" applyProtection="1">
      <alignment horizontal="center" vertical="center"/>
      <protection hidden="1"/>
    </xf>
    <xf numFmtId="0" fontId="12" fillId="16" borderId="13" xfId="0" applyFont="1" applyFill="1" applyBorder="1" applyAlignment="1" applyProtection="1">
      <alignment horizontal="center" vertical="center"/>
      <protection hidden="1"/>
    </xf>
    <xf numFmtId="0" fontId="12" fillId="16" borderId="14" xfId="0" applyFont="1" applyFill="1" applyBorder="1" applyAlignment="1" applyProtection="1">
      <alignment horizontal="center" vertical="center"/>
      <protection hidden="1"/>
    </xf>
    <xf numFmtId="0" fontId="12" fillId="0" borderId="14" xfId="0" applyFont="1" applyBorder="1" applyAlignment="1" applyProtection="1">
      <alignment horizontal="center" vertical="center"/>
      <protection hidden="1"/>
    </xf>
    <xf numFmtId="0" fontId="4" fillId="0" borderId="13" xfId="0" applyFont="1" applyBorder="1" applyAlignment="1" applyProtection="1">
      <alignment vertical="center"/>
      <protection hidden="1"/>
    </xf>
    <xf numFmtId="0" fontId="8" fillId="9" borderId="13" xfId="0" applyFont="1" applyFill="1" applyBorder="1" applyAlignment="1" applyProtection="1">
      <alignment vertical="center"/>
      <protection hidden="1"/>
    </xf>
    <xf numFmtId="0" fontId="8" fillId="9" borderId="0" xfId="0" applyFont="1" applyFill="1" applyAlignment="1" applyProtection="1">
      <alignment vertical="center"/>
      <protection hidden="1"/>
    </xf>
    <xf numFmtId="0" fontId="3" fillId="17" borderId="20" xfId="0" applyFont="1" applyFill="1" applyBorder="1" applyAlignment="1" applyProtection="1">
      <alignment vertical="center"/>
      <protection hidden="1"/>
    </xf>
    <xf numFmtId="0" fontId="34" fillId="17" borderId="20" xfId="0" applyFont="1" applyFill="1" applyBorder="1" applyAlignment="1" applyProtection="1">
      <alignment vertical="center"/>
      <protection hidden="1"/>
    </xf>
    <xf numFmtId="0" fontId="35" fillId="18" borderId="21" xfId="0" applyFont="1" applyFill="1" applyBorder="1" applyAlignment="1" applyProtection="1">
      <alignment horizontal="center" vertical="center"/>
      <protection hidden="1"/>
    </xf>
    <xf numFmtId="0" fontId="35" fillId="18" borderId="22" xfId="0" applyFont="1" applyFill="1" applyBorder="1" applyAlignment="1" applyProtection="1">
      <alignment horizontal="center" vertical="center"/>
      <protection hidden="1"/>
    </xf>
    <xf numFmtId="0" fontId="35" fillId="18" borderId="23" xfId="0" applyFont="1" applyFill="1" applyBorder="1" applyAlignment="1" applyProtection="1">
      <alignment horizontal="center" vertical="center"/>
      <protection hidden="1"/>
    </xf>
    <xf numFmtId="0" fontId="11" fillId="19" borderId="13" xfId="0" applyFont="1" applyFill="1" applyBorder="1" applyAlignment="1" applyProtection="1">
      <alignment vertical="center"/>
      <protection hidden="1"/>
    </xf>
    <xf numFmtId="0" fontId="33" fillId="0" borderId="0" xfId="0" applyFont="1" applyAlignment="1" applyProtection="1">
      <alignment horizontal="center" vertical="center"/>
      <protection hidden="1"/>
    </xf>
    <xf numFmtId="166" fontId="33" fillId="0" borderId="0" xfId="0" applyNumberFormat="1" applyFont="1" applyAlignment="1" applyProtection="1">
      <alignment horizontal="right" vertical="center"/>
      <protection hidden="1"/>
    </xf>
    <xf numFmtId="164" fontId="33" fillId="0" borderId="0" xfId="0" applyNumberFormat="1" applyFont="1" applyAlignment="1" applyProtection="1">
      <alignment horizontal="center" vertical="center"/>
      <protection hidden="1"/>
    </xf>
    <xf numFmtId="0" fontId="33" fillId="0" borderId="0" xfId="0" applyFont="1" applyAlignment="1" applyProtection="1">
      <alignment horizontal="right" vertical="center"/>
      <protection hidden="1"/>
    </xf>
    <xf numFmtId="0" fontId="33" fillId="20" borderId="18" xfId="0" applyFont="1" applyFill="1" applyBorder="1" applyAlignment="1" applyProtection="1">
      <alignment horizontal="center" vertical="center"/>
      <protection locked="0"/>
    </xf>
    <xf numFmtId="0" fontId="33" fillId="0" borderId="0" xfId="0" applyFont="1" applyAlignment="1" applyProtection="1">
      <alignment vertical="center"/>
      <protection hidden="1"/>
    </xf>
    <xf numFmtId="0" fontId="33" fillId="0" borderId="0" xfId="0" applyFont="1" applyAlignment="1" applyProtection="1">
      <alignment horizontal="left" vertical="center" indent="1"/>
      <protection locked="0"/>
    </xf>
    <xf numFmtId="0" fontId="33" fillId="9" borderId="0" xfId="0" applyFont="1" applyFill="1" applyAlignment="1" applyProtection="1">
      <alignment horizontal="center" vertical="center"/>
      <protection hidden="1"/>
    </xf>
    <xf numFmtId="166" fontId="33" fillId="9" borderId="0" xfId="0" applyNumberFormat="1" applyFont="1" applyFill="1" applyAlignment="1" applyProtection="1">
      <alignment horizontal="right" vertical="center"/>
      <protection hidden="1"/>
    </xf>
    <xf numFmtId="164" fontId="33" fillId="9" borderId="0" xfId="0" applyNumberFormat="1" applyFont="1" applyFill="1" applyAlignment="1" applyProtection="1">
      <alignment horizontal="center" vertical="center"/>
      <protection hidden="1"/>
    </xf>
    <xf numFmtId="0" fontId="33" fillId="9" borderId="0" xfId="0" applyFont="1" applyFill="1" applyAlignment="1" applyProtection="1">
      <alignment horizontal="right" vertical="center"/>
      <protection hidden="1"/>
    </xf>
    <xf numFmtId="0" fontId="33" fillId="9" borderId="0" xfId="0" applyFont="1" applyFill="1" applyAlignment="1" applyProtection="1">
      <alignment vertical="center"/>
      <protection hidden="1"/>
    </xf>
    <xf numFmtId="0" fontId="33" fillId="9" borderId="0" xfId="0" applyFont="1" applyFill="1" applyAlignment="1" applyProtection="1">
      <alignment horizontal="left" vertical="center" indent="1"/>
      <protection locked="0"/>
    </xf>
    <xf numFmtId="0" fontId="33" fillId="7" borderId="0" xfId="0" applyFont="1" applyFill="1" applyAlignment="1" applyProtection="1">
      <alignment horizontal="center" vertical="center"/>
      <protection hidden="1"/>
    </xf>
    <xf numFmtId="166" fontId="33" fillId="7" borderId="0" xfId="0" applyNumberFormat="1" applyFont="1" applyFill="1" applyAlignment="1" applyProtection="1">
      <alignment horizontal="right" vertical="center"/>
      <protection hidden="1"/>
    </xf>
    <xf numFmtId="164" fontId="33" fillId="7" borderId="0" xfId="0" applyNumberFormat="1" applyFont="1" applyFill="1" applyAlignment="1" applyProtection="1">
      <alignment horizontal="center" vertical="center"/>
      <protection hidden="1"/>
    </xf>
    <xf numFmtId="0" fontId="33" fillId="7" borderId="0" xfId="0" applyFont="1" applyFill="1" applyAlignment="1" applyProtection="1">
      <alignment horizontal="right" vertical="center"/>
      <protection hidden="1"/>
    </xf>
    <xf numFmtId="0" fontId="33" fillId="20" borderId="19" xfId="0" applyFont="1" applyFill="1" applyBorder="1" applyAlignment="1" applyProtection="1">
      <alignment horizontal="center" vertical="center"/>
      <protection locked="0"/>
    </xf>
    <xf numFmtId="0" fontId="33" fillId="7" borderId="0" xfId="0" applyFont="1" applyFill="1" applyAlignment="1" applyProtection="1">
      <alignment vertical="center"/>
      <protection hidden="1"/>
    </xf>
    <xf numFmtId="0" fontId="33" fillId="7" borderId="0" xfId="0" applyFont="1" applyFill="1" applyAlignment="1" applyProtection="1">
      <alignment horizontal="left" vertical="center" indent="1"/>
      <protection locked="0"/>
    </xf>
    <xf numFmtId="0" fontId="33" fillId="21" borderId="0" xfId="0" applyFont="1" applyFill="1" applyAlignment="1" applyProtection="1">
      <alignment horizontal="center" vertical="center"/>
      <protection hidden="1"/>
    </xf>
    <xf numFmtId="166" fontId="33" fillId="21" borderId="0" xfId="0" applyNumberFormat="1" applyFont="1" applyFill="1" applyAlignment="1" applyProtection="1">
      <alignment horizontal="right" vertical="center"/>
      <protection hidden="1"/>
    </xf>
    <xf numFmtId="164" fontId="33" fillId="21" borderId="0" xfId="0" applyNumberFormat="1" applyFont="1" applyFill="1" applyAlignment="1" applyProtection="1">
      <alignment horizontal="center" vertical="center"/>
      <protection hidden="1"/>
    </xf>
    <xf numFmtId="0" fontId="33" fillId="21" borderId="0" xfId="0" applyFont="1" applyFill="1" applyAlignment="1" applyProtection="1">
      <alignment horizontal="right" vertical="center"/>
      <protection hidden="1"/>
    </xf>
    <xf numFmtId="0" fontId="33" fillId="21" borderId="0" xfId="0" applyFont="1" applyFill="1" applyAlignment="1" applyProtection="1">
      <alignment vertical="center"/>
      <protection hidden="1"/>
    </xf>
    <xf numFmtId="0" fontId="33" fillId="21" borderId="0" xfId="0" applyFont="1" applyFill="1" applyAlignment="1" applyProtection="1">
      <alignment horizontal="left" vertical="center" indent="1"/>
      <protection locked="0"/>
    </xf>
    <xf numFmtId="0" fontId="33" fillId="21" borderId="16" xfId="0" applyFont="1" applyFill="1" applyBorder="1" applyAlignment="1" applyProtection="1">
      <alignment horizontal="center" vertical="center"/>
      <protection hidden="1"/>
    </xf>
    <xf numFmtId="166" fontId="33" fillId="21" borderId="16" xfId="0" applyNumberFormat="1" applyFont="1" applyFill="1" applyBorder="1" applyAlignment="1" applyProtection="1">
      <alignment horizontal="right" vertical="center"/>
      <protection hidden="1"/>
    </xf>
    <xf numFmtId="164" fontId="33" fillId="21" borderId="16" xfId="0" applyNumberFormat="1" applyFont="1" applyFill="1" applyBorder="1" applyAlignment="1" applyProtection="1">
      <alignment horizontal="center" vertical="center"/>
      <protection hidden="1"/>
    </xf>
    <xf numFmtId="0" fontId="33" fillId="21" borderId="16" xfId="0" applyFont="1" applyFill="1" applyBorder="1" applyAlignment="1" applyProtection="1">
      <alignment horizontal="right" vertical="center"/>
      <protection hidden="1"/>
    </xf>
    <xf numFmtId="0" fontId="33" fillId="21" borderId="16" xfId="0" applyFont="1" applyFill="1" applyBorder="1" applyAlignment="1" applyProtection="1">
      <alignment vertical="center"/>
      <protection hidden="1"/>
    </xf>
    <xf numFmtId="0" fontId="33" fillId="21" borderId="16" xfId="0" applyFont="1" applyFill="1" applyBorder="1" applyAlignment="1" applyProtection="1">
      <alignment horizontal="left" vertical="center" indent="1"/>
      <protection locked="0"/>
    </xf>
    <xf numFmtId="0" fontId="19" fillId="0" borderId="0" xfId="1" applyFont="1" applyAlignment="1" applyProtection="1">
      <alignment vertical="center"/>
      <protection hidden="1"/>
    </xf>
    <xf numFmtId="0" fontId="36" fillId="0" borderId="0" xfId="0" applyFont="1" applyProtection="1">
      <protection hidden="1"/>
    </xf>
    <xf numFmtId="0" fontId="3" fillId="0" borderId="0" xfId="0" applyFont="1" applyAlignment="1" applyProtection="1">
      <alignment vertical="center"/>
      <protection hidden="1"/>
    </xf>
    <xf numFmtId="0" fontId="4" fillId="19" borderId="0" xfId="0" applyFont="1" applyFill="1" applyAlignment="1" applyProtection="1">
      <alignment wrapText="1"/>
      <protection hidden="1"/>
    </xf>
    <xf numFmtId="0" fontId="27" fillId="19" borderId="0" xfId="0" applyFont="1" applyFill="1" applyAlignment="1" applyProtection="1">
      <alignment horizontal="center"/>
      <protection hidden="1"/>
    </xf>
    <xf numFmtId="0" fontId="6" fillId="19" borderId="0" xfId="0" applyFont="1" applyFill="1" applyAlignment="1" applyProtection="1">
      <alignment horizontal="left" indent="1"/>
      <protection hidden="1"/>
    </xf>
    <xf numFmtId="0" fontId="3" fillId="19" borderId="0" xfId="0" applyFont="1" applyFill="1" applyAlignment="1" applyProtection="1">
      <alignment horizontal="center"/>
      <protection hidden="1"/>
    </xf>
    <xf numFmtId="0" fontId="2" fillId="19" borderId="0" xfId="0" applyFont="1" applyFill="1" applyProtection="1">
      <protection hidden="1"/>
    </xf>
    <xf numFmtId="0" fontId="1" fillId="19" borderId="0" xfId="0" applyFont="1" applyFill="1" applyAlignment="1" applyProtection="1">
      <alignment horizontal="left" vertical="center" indent="1"/>
      <protection hidden="1"/>
    </xf>
    <xf numFmtId="0" fontId="1" fillId="19" borderId="1" xfId="0" applyFont="1" applyFill="1" applyBorder="1" applyAlignment="1" applyProtection="1">
      <alignment horizontal="left" vertical="center" indent="1"/>
      <protection hidden="1"/>
    </xf>
    <xf numFmtId="0" fontId="4" fillId="19" borderId="3" xfId="0" applyFont="1" applyFill="1" applyBorder="1" applyAlignment="1" applyProtection="1">
      <alignment vertical="center"/>
      <protection hidden="1"/>
    </xf>
    <xf numFmtId="0" fontId="1" fillId="17" borderId="1" xfId="0" applyFont="1" applyFill="1" applyBorder="1" applyAlignment="1" applyProtection="1">
      <alignment horizontal="left" vertical="center" indent="1"/>
      <protection hidden="1"/>
    </xf>
    <xf numFmtId="0" fontId="1" fillId="17" borderId="1" xfId="0" applyFont="1" applyFill="1" applyBorder="1" applyAlignment="1" applyProtection="1">
      <alignment vertical="center"/>
      <protection hidden="1"/>
    </xf>
    <xf numFmtId="0" fontId="1" fillId="17" borderId="1" xfId="0" applyFont="1" applyFill="1" applyBorder="1" applyAlignment="1" applyProtection="1">
      <alignment horizontal="center" vertical="center"/>
      <protection hidden="1"/>
    </xf>
    <xf numFmtId="0" fontId="0" fillId="19" borderId="0" xfId="0" applyFill="1"/>
    <xf numFmtId="0" fontId="3" fillId="11" borderId="0" xfId="0" applyFont="1" applyFill="1" applyAlignment="1">
      <alignment vertical="center"/>
    </xf>
    <xf numFmtId="0" fontId="3" fillId="11" borderId="0" xfId="0" applyFont="1" applyFill="1" applyAlignment="1">
      <alignment horizontal="center" vertical="center"/>
    </xf>
    <xf numFmtId="0" fontId="4" fillId="9" borderId="0" xfId="0" applyFont="1" applyFill="1" applyAlignment="1">
      <alignment vertical="center"/>
    </xf>
    <xf numFmtId="0" fontId="19" fillId="9" borderId="0" xfId="1" applyFont="1" applyFill="1" applyAlignment="1" applyProtection="1">
      <alignment vertical="center"/>
    </xf>
    <xf numFmtId="0" fontId="14" fillId="9" borderId="0" xfId="0" applyFont="1" applyFill="1" applyAlignment="1">
      <alignment horizontal="center" vertical="center"/>
    </xf>
    <xf numFmtId="0" fontId="4" fillId="12" borderId="0" xfId="0" applyFont="1" applyFill="1" applyAlignment="1">
      <alignment vertical="center"/>
    </xf>
    <xf numFmtId="0" fontId="19" fillId="12" borderId="0" xfId="1" applyFont="1" applyFill="1" applyAlignment="1" applyProtection="1">
      <alignment vertical="center"/>
    </xf>
    <xf numFmtId="0" fontId="14" fillId="12" borderId="0" xfId="0" applyFont="1" applyFill="1" applyAlignment="1">
      <alignment horizontal="center" vertical="center"/>
    </xf>
    <xf numFmtId="0" fontId="37" fillId="19" borderId="0" xfId="0" applyFont="1" applyFill="1" applyProtection="1">
      <protection hidden="1"/>
    </xf>
    <xf numFmtId="0" fontId="34" fillId="17" borderId="20" xfId="0" applyFont="1" applyFill="1" applyBorder="1" applyAlignment="1" applyProtection="1">
      <alignment vertical="center"/>
      <protection locked="0"/>
    </xf>
    <xf numFmtId="0" fontId="33" fillId="7" borderId="0" xfId="0" applyFont="1" applyFill="1" applyAlignment="1" applyProtection="1">
      <alignment horizontal="center" vertical="center"/>
      <protection locked="0"/>
    </xf>
    <xf numFmtId="0" fontId="33" fillId="21" borderId="0" xfId="0" applyFont="1" applyFill="1" applyAlignment="1" applyProtection="1">
      <alignment horizontal="center" vertical="center"/>
      <protection locked="0"/>
    </xf>
    <xf numFmtId="0" fontId="33" fillId="21" borderId="16" xfId="0" applyFont="1" applyFill="1" applyBorder="1" applyAlignment="1" applyProtection="1">
      <alignment horizontal="center" vertical="center"/>
      <protection locked="0"/>
    </xf>
    <xf numFmtId="0" fontId="34" fillId="17" borderId="20" xfId="0" applyFont="1" applyFill="1" applyBorder="1" applyAlignment="1" applyProtection="1">
      <alignment horizontal="left" vertical="center" indent="1"/>
      <protection locked="0"/>
    </xf>
    <xf numFmtId="0" fontId="3" fillId="23" borderId="0" xfId="0" applyFont="1" applyFill="1" applyProtection="1">
      <protection hidden="1"/>
    </xf>
    <xf numFmtId="0" fontId="3" fillId="23" borderId="0" xfId="0" applyFont="1" applyFill="1" applyAlignment="1" applyProtection="1">
      <alignment horizontal="center"/>
      <protection hidden="1"/>
    </xf>
    <xf numFmtId="0" fontId="3" fillId="23" borderId="0" xfId="0" applyFont="1" applyFill="1" applyAlignment="1" applyProtection="1">
      <alignment horizontal="left"/>
      <protection hidden="1"/>
    </xf>
    <xf numFmtId="0" fontId="3" fillId="23" borderId="0" xfId="0" applyFont="1" applyFill="1"/>
    <xf numFmtId="0" fontId="1" fillId="23" borderId="0" xfId="0" applyFont="1" applyFill="1" applyAlignment="1" applyProtection="1">
      <alignment horizontal="center"/>
      <protection hidden="1"/>
    </xf>
    <xf numFmtId="0" fontId="1" fillId="23" borderId="0" xfId="0" applyFont="1" applyFill="1" applyAlignment="1" applyProtection="1">
      <alignment horizontal="left"/>
      <protection hidden="1"/>
    </xf>
    <xf numFmtId="0" fontId="1" fillId="23" borderId="0" xfId="0" applyFont="1" applyFill="1" applyAlignment="1">
      <alignment horizontal="center"/>
    </xf>
    <xf numFmtId="0" fontId="3" fillId="23" borderId="0" xfId="0" applyFont="1" applyFill="1" applyAlignment="1" applyProtection="1">
      <alignment horizontal="right"/>
      <protection hidden="1"/>
    </xf>
    <xf numFmtId="0" fontId="1" fillId="23" borderId="0" xfId="0" applyFont="1" applyFill="1" applyAlignment="1">
      <alignment vertical="center" textRotation="255"/>
    </xf>
    <xf numFmtId="0" fontId="3" fillId="23" borderId="0" xfId="0" applyFont="1" applyFill="1" applyAlignment="1">
      <alignment horizontal="center" vertical="center" textRotation="255"/>
    </xf>
    <xf numFmtId="0" fontId="3" fillId="23" borderId="0" xfId="0" applyFont="1" applyFill="1" applyAlignment="1">
      <alignment horizontal="left" vertical="center" indent="1"/>
    </xf>
    <xf numFmtId="0" fontId="3" fillId="23" borderId="0" xfId="0" applyFont="1" applyFill="1" applyAlignment="1" applyProtection="1">
      <alignment horizontal="left" vertical="center" indent="1"/>
      <protection hidden="1"/>
    </xf>
    <xf numFmtId="0" fontId="3" fillId="23" borderId="0" xfId="0" applyFont="1" applyFill="1" applyAlignment="1">
      <alignment horizontal="center"/>
    </xf>
    <xf numFmtId="0" fontId="3" fillId="23" borderId="0" xfId="0" applyFont="1" applyFill="1" applyAlignment="1" applyProtection="1">
      <alignment horizontal="center" vertical="center"/>
      <protection hidden="1"/>
    </xf>
    <xf numFmtId="16" fontId="3" fillId="23" borderId="0" xfId="0" applyNumberFormat="1" applyFont="1" applyFill="1" applyAlignment="1" applyProtection="1">
      <alignment vertical="center"/>
      <protection hidden="1"/>
    </xf>
    <xf numFmtId="165" fontId="3" fillId="23" borderId="0" xfId="0" applyNumberFormat="1" applyFont="1" applyFill="1" applyAlignment="1" applyProtection="1">
      <alignment horizontal="right" vertical="center"/>
      <protection hidden="1"/>
    </xf>
    <xf numFmtId="165" fontId="3" fillId="23" borderId="0" xfId="0" applyNumberFormat="1" applyFont="1" applyFill="1" applyProtection="1">
      <protection hidden="1"/>
    </xf>
    <xf numFmtId="165" fontId="3" fillId="23" borderId="0" xfId="0" applyNumberFormat="1" applyFont="1" applyFill="1" applyAlignment="1" applyProtection="1">
      <alignment horizontal="right"/>
      <protection hidden="1"/>
    </xf>
    <xf numFmtId="0" fontId="3" fillId="23" borderId="0" xfId="0" applyFont="1" applyFill="1" applyAlignment="1" applyProtection="1">
      <alignment vertical="center" wrapText="1"/>
      <protection locked="0"/>
    </xf>
    <xf numFmtId="0" fontId="1" fillId="23" borderId="0" xfId="1" applyFont="1" applyFill="1" applyBorder="1" applyAlignment="1" applyProtection="1">
      <alignment vertical="center"/>
      <protection hidden="1"/>
    </xf>
    <xf numFmtId="0" fontId="3" fillId="23" borderId="0" xfId="0" applyFont="1" applyFill="1" applyProtection="1">
      <protection locked="0"/>
    </xf>
    <xf numFmtId="0" fontId="3" fillId="23" borderId="0" xfId="0" applyFont="1" applyFill="1" applyAlignment="1" applyProtection="1">
      <alignment horizontal="center"/>
      <protection locked="0"/>
    </xf>
    <xf numFmtId="0" fontId="3" fillId="23" borderId="0" xfId="0" applyFont="1" applyFill="1" applyAlignment="1" applyProtection="1">
      <alignment wrapText="1"/>
      <protection locked="0"/>
    </xf>
    <xf numFmtId="0" fontId="3" fillId="23" borderId="0" xfId="0" applyFont="1" applyFill="1" applyAlignment="1" applyProtection="1">
      <alignment horizontal="center" wrapText="1"/>
      <protection locked="0"/>
    </xf>
    <xf numFmtId="0" fontId="1" fillId="19" borderId="2" xfId="0" applyFont="1" applyFill="1" applyBorder="1" applyAlignment="1" applyProtection="1">
      <alignment horizontal="center" vertical="center" wrapText="1"/>
      <protection hidden="1"/>
    </xf>
    <xf numFmtId="0" fontId="1" fillId="19" borderId="4" xfId="0" applyFont="1" applyFill="1" applyBorder="1" applyAlignment="1" applyProtection="1">
      <alignment horizontal="center" vertical="center" wrapText="1"/>
      <protection hidden="1"/>
    </xf>
    <xf numFmtId="0" fontId="1" fillId="19" borderId="8" xfId="0" applyFont="1" applyFill="1" applyBorder="1" applyAlignment="1" applyProtection="1">
      <alignment horizontal="center" vertical="center" wrapText="1"/>
      <protection hidden="1"/>
    </xf>
    <xf numFmtId="0" fontId="38" fillId="22" borderId="0" xfId="1" applyFont="1" applyFill="1" applyAlignment="1" applyProtection="1">
      <alignment horizontal="center" vertical="center" wrapText="1"/>
      <protection hidden="1"/>
    </xf>
    <xf numFmtId="0" fontId="41" fillId="22" borderId="0" xfId="1" applyFont="1" applyFill="1" applyAlignment="1" applyProtection="1">
      <alignment horizontal="center" vertical="center"/>
      <protection hidden="1"/>
    </xf>
    <xf numFmtId="0" fontId="1" fillId="17" borderId="0" xfId="0" applyFont="1" applyFill="1" applyAlignment="1" applyProtection="1">
      <alignment horizontal="left" vertical="center"/>
      <protection hidden="1"/>
    </xf>
    <xf numFmtId="0" fontId="30" fillId="19" borderId="0" xfId="0" applyFont="1" applyFill="1" applyAlignment="1" applyProtection="1">
      <alignment horizontal="left" vertical="center" wrapText="1"/>
      <protection hidden="1"/>
    </xf>
    <xf numFmtId="0" fontId="11" fillId="17" borderId="9" xfId="0" applyFont="1" applyFill="1" applyBorder="1" applyAlignment="1" applyProtection="1">
      <alignment horizontal="center" vertical="center"/>
      <protection hidden="1"/>
    </xf>
    <xf numFmtId="0" fontId="11" fillId="17" borderId="13" xfId="0" applyFont="1" applyFill="1" applyBorder="1" applyAlignment="1" applyProtection="1">
      <alignment horizontal="center" vertical="center"/>
      <protection hidden="1"/>
    </xf>
    <xf numFmtId="0" fontId="11" fillId="17" borderId="0" xfId="0" applyFont="1" applyFill="1" applyAlignment="1" applyProtection="1">
      <alignment horizontal="center" vertical="center"/>
      <protection hidden="1"/>
    </xf>
    <xf numFmtId="0" fontId="11" fillId="17" borderId="14" xfId="0" applyFont="1" applyFill="1" applyBorder="1" applyAlignment="1" applyProtection="1">
      <alignment horizontal="center" vertical="center"/>
      <protection hidden="1"/>
    </xf>
    <xf numFmtId="0" fontId="10" fillId="17" borderId="0" xfId="0" applyFont="1" applyFill="1" applyAlignment="1" applyProtection="1">
      <alignment horizontal="center" vertical="center"/>
      <protection hidden="1"/>
    </xf>
    <xf numFmtId="0" fontId="34" fillId="2" borderId="20" xfId="0" applyFont="1" applyFill="1" applyBorder="1" applyAlignment="1" applyProtection="1">
      <alignment horizontal="center" vertical="center"/>
      <protection hidden="1"/>
    </xf>
    <xf numFmtId="0" fontId="17" fillId="9" borderId="0" xfId="0" applyFont="1" applyFill="1" applyAlignment="1" applyProtection="1">
      <alignment horizontal="center" vertical="center"/>
      <protection hidden="1"/>
    </xf>
    <xf numFmtId="0" fontId="13" fillId="17" borderId="0" xfId="0" applyFont="1" applyFill="1" applyAlignment="1" applyProtection="1">
      <alignment horizontal="center" vertical="center" wrapText="1"/>
      <protection hidden="1"/>
    </xf>
    <xf numFmtId="0" fontId="18" fillId="18" borderId="0" xfId="0" applyFont="1" applyFill="1" applyAlignment="1" applyProtection="1">
      <alignment horizontal="center" vertical="center" wrapText="1"/>
      <protection hidden="1"/>
    </xf>
    <xf numFmtId="0" fontId="13" fillId="17" borderId="0" xfId="0" applyFont="1" applyFill="1" applyAlignment="1" applyProtection="1">
      <alignment horizontal="center" vertical="center"/>
      <protection hidden="1"/>
    </xf>
    <xf numFmtId="0" fontId="39" fillId="22" borderId="0" xfId="1" applyFont="1" applyFill="1" applyAlignment="1" applyProtection="1">
      <alignment horizontal="center" vertical="center" wrapText="1"/>
      <protection hidden="1"/>
    </xf>
    <xf numFmtId="0" fontId="26" fillId="0" borderId="0" xfId="1" applyFont="1" applyAlignment="1" applyProtection="1">
      <alignment horizontal="left"/>
    </xf>
    <xf numFmtId="0" fontId="4" fillId="11" borderId="0" xfId="0" applyFont="1" applyFill="1" applyAlignment="1">
      <alignment horizontal="left" wrapText="1"/>
    </xf>
  </cellXfs>
  <cellStyles count="3">
    <cellStyle name="Hyperlink" xfId="1" builtinId="8"/>
    <cellStyle name="Normal" xfId="0" builtinId="0"/>
    <cellStyle name="Normal 2" xfId="2" xr:uid="{00000000-0005-0000-0000-000002000000}"/>
  </cellStyles>
  <dxfs count="16">
    <dxf>
      <fill>
        <patternFill>
          <bgColor theme="9" tint="0.59996337778862885"/>
        </patternFill>
      </fill>
    </dxf>
    <dxf>
      <font>
        <color theme="0"/>
      </font>
    </dxf>
    <dxf>
      <font>
        <color rgb="FF9C0006"/>
      </font>
      <fill>
        <patternFill>
          <bgColor rgb="FFFFC7CE"/>
        </patternFill>
      </fill>
    </dxf>
    <dxf>
      <font>
        <color theme="0"/>
      </font>
      <fill>
        <patternFill>
          <bgColor theme="0"/>
        </patternFill>
      </fill>
      <border>
        <left/>
        <right/>
        <top/>
        <bottom/>
        <vertical/>
        <horizontal/>
      </border>
    </dxf>
    <dxf>
      <fill>
        <patternFill>
          <bgColor theme="9" tint="0.59996337778862885"/>
        </patternFill>
      </fill>
      <border>
        <left style="thin">
          <color theme="9" tint="-0.499984740745262"/>
        </left>
        <right style="thin">
          <color theme="9" tint="-0.499984740745262"/>
        </right>
        <top style="thin">
          <color theme="9" tint="-0.499984740745262"/>
        </top>
        <bottom style="thin">
          <color theme="9" tint="-0.499984740745262"/>
        </bottom>
        <vertical/>
        <horizontal/>
      </border>
    </dxf>
    <dxf>
      <font>
        <b/>
        <i val="0"/>
      </font>
    </dxf>
    <dxf>
      <font>
        <b val="0"/>
        <i/>
        <color theme="1" tint="0.499984740745262"/>
      </font>
    </dxf>
    <dxf>
      <font>
        <b/>
        <i val="0"/>
      </font>
    </dxf>
    <dxf>
      <font>
        <b val="0"/>
        <i/>
        <color theme="1" tint="0.499984740745262"/>
      </font>
    </dxf>
    <dxf>
      <font>
        <b/>
        <i val="0"/>
      </font>
    </dxf>
    <dxf>
      <font>
        <b val="0"/>
        <i/>
        <color theme="1" tint="0.499984740745262"/>
      </font>
    </dxf>
    <dxf>
      <font>
        <color rgb="FFFF0000"/>
      </font>
      <fill>
        <patternFill>
          <bgColor theme="9" tint="0.79998168889431442"/>
        </patternFill>
      </fill>
    </dxf>
    <dxf>
      <font>
        <color rgb="FFFF0000"/>
      </font>
      <fill>
        <patternFill>
          <bgColor theme="9" tint="0.79998168889431442"/>
        </patternFill>
      </fill>
    </dxf>
    <dxf>
      <font>
        <b/>
        <i val="0"/>
      </font>
    </dxf>
    <dxf>
      <font>
        <b val="0"/>
        <i/>
        <color theme="1" tint="0.499984740745262"/>
      </font>
    </dxf>
    <dxf>
      <font>
        <color rgb="FF9C0006"/>
      </font>
      <fill>
        <patternFill>
          <bgColor rgb="FFFFC7CE"/>
        </patternFill>
      </fill>
    </dxf>
  </dxfs>
  <tableStyles count="0" defaultTableStyle="TableStyleMedium2" defaultPivotStyle="PivotStyleLight16"/>
  <colors>
    <mruColors>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png"/><Relationship Id="rId21" Type="http://schemas.openxmlformats.org/officeDocument/2006/relationships/image" Target="../media/image21.pn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png"/><Relationship Id="rId50" Type="http://schemas.openxmlformats.org/officeDocument/2006/relationships/image" Target="../media/image50.png"/><Relationship Id="rId55" Type="http://schemas.openxmlformats.org/officeDocument/2006/relationships/image" Target="../media/image55.png"/><Relationship Id="rId63" Type="http://schemas.openxmlformats.org/officeDocument/2006/relationships/image" Target="../media/image63.png"/><Relationship Id="rId68" Type="http://schemas.openxmlformats.org/officeDocument/2006/relationships/image" Target="../media/image68.png"/><Relationship Id="rId76" Type="http://schemas.openxmlformats.org/officeDocument/2006/relationships/image" Target="../media/image76.png"/><Relationship Id="rId84" Type="http://schemas.openxmlformats.org/officeDocument/2006/relationships/image" Target="../media/image84.png"/><Relationship Id="rId7" Type="http://schemas.openxmlformats.org/officeDocument/2006/relationships/image" Target="../media/image7.png"/><Relationship Id="rId71" Type="http://schemas.openxmlformats.org/officeDocument/2006/relationships/image" Target="../media/image71.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66" Type="http://schemas.openxmlformats.org/officeDocument/2006/relationships/image" Target="../media/image66.png"/><Relationship Id="rId74" Type="http://schemas.openxmlformats.org/officeDocument/2006/relationships/image" Target="../media/image74.png"/><Relationship Id="rId79" Type="http://schemas.openxmlformats.org/officeDocument/2006/relationships/image" Target="../media/image79.png"/><Relationship Id="rId5" Type="http://schemas.openxmlformats.org/officeDocument/2006/relationships/image" Target="../media/image5.png"/><Relationship Id="rId61" Type="http://schemas.openxmlformats.org/officeDocument/2006/relationships/image" Target="../media/image61.png"/><Relationship Id="rId82" Type="http://schemas.openxmlformats.org/officeDocument/2006/relationships/image" Target="../media/image82.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78" Type="http://schemas.openxmlformats.org/officeDocument/2006/relationships/image" Target="../media/image78.png"/><Relationship Id="rId81" Type="http://schemas.openxmlformats.org/officeDocument/2006/relationships/image" Target="../media/image8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69" Type="http://schemas.openxmlformats.org/officeDocument/2006/relationships/image" Target="../media/image69.png"/><Relationship Id="rId77" Type="http://schemas.openxmlformats.org/officeDocument/2006/relationships/image" Target="../media/image77.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80" Type="http://schemas.openxmlformats.org/officeDocument/2006/relationships/image" Target="../media/image80.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jpeg"/></Relationships>
</file>

<file path=xl/drawings/_rels/drawing3.xml.rels><?xml version="1.0" encoding="UTF-8" standalone="yes"?>
<Relationships xmlns="http://schemas.openxmlformats.org/package/2006/relationships"><Relationship Id="rId3" Type="http://schemas.openxmlformats.org/officeDocument/2006/relationships/hyperlink" Target="https://www.fatfreecartpro.com/ecom/gb.php?&amp;c=single&amp;cl=353533&amp;i=1897132" TargetMode="External"/><Relationship Id="rId2" Type="http://schemas.openxmlformats.org/officeDocument/2006/relationships/image" Target="../media/image85.png"/><Relationship Id="rId1" Type="http://schemas.openxmlformats.org/officeDocument/2006/relationships/hyperlink" Target="https://www.fatfreecartpro.com/ecom/gb.php?&amp;c=single&amp;cl=353533&amp;i=1897131" TargetMode="External"/><Relationship Id="rId5" Type="http://schemas.openxmlformats.org/officeDocument/2006/relationships/hyperlink" Target="https://www.fatfreecartpro.com/ecom/gb.php?&amp;c=single&amp;cl=353533&amp;i=1897130" TargetMode="External"/><Relationship Id="rId4" Type="http://schemas.openxmlformats.org/officeDocument/2006/relationships/hyperlink" Target="https://www.fatfreecartpro.com/ecom/gb.php?&amp;c=single&amp;cl=353533&amp;i=1897133" TargetMode="External"/></Relationships>
</file>

<file path=xl/drawings/drawing1.xml><?xml version="1.0" encoding="utf-8"?>
<xdr:wsDr xmlns:xdr="http://schemas.openxmlformats.org/drawingml/2006/spreadsheetDrawing" xmlns:a="http://schemas.openxmlformats.org/drawingml/2006/main">
  <xdr:twoCellAnchor editAs="oneCell">
    <xdr:from>
      <xdr:col>11</xdr:col>
      <xdr:colOff>78348</xdr:colOff>
      <xdr:row>3</xdr:row>
      <xdr:rowOff>31195</xdr:rowOff>
    </xdr:from>
    <xdr:to>
      <xdr:col>11</xdr:col>
      <xdr:colOff>215501</xdr:colOff>
      <xdr:row>74</xdr:row>
      <xdr:rowOff>150029</xdr:rowOff>
    </xdr:to>
    <xdr:grpSp>
      <xdr:nvGrpSpPr>
        <xdr:cNvPr id="76" name="Group 75">
          <a:extLst>
            <a:ext uri="{FF2B5EF4-FFF2-40B4-BE49-F238E27FC236}">
              <a16:creationId xmlns:a16="http://schemas.microsoft.com/office/drawing/2014/main" id="{00000000-0008-0000-0100-00004C000000}"/>
            </a:ext>
          </a:extLst>
        </xdr:cNvPr>
        <xdr:cNvGrpSpPr/>
      </xdr:nvGrpSpPr>
      <xdr:grpSpPr>
        <a:xfrm>
          <a:off x="3706507" y="663309"/>
          <a:ext cx="137153" cy="12414743"/>
          <a:chOff x="3797300" y="1526452"/>
          <a:chExt cx="167109" cy="15362237"/>
        </a:xfrm>
      </xdr:grpSpPr>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797300" y="3673937"/>
            <a:ext cx="160584" cy="163089"/>
          </a:xfrm>
          <a:prstGeom prst="rect">
            <a:avLst/>
          </a:prstGeom>
        </xdr:spPr>
      </xdr:pic>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797300" y="3027122"/>
            <a:ext cx="160584" cy="163089"/>
          </a:xfrm>
          <a:prstGeom prst="rect">
            <a:avLst/>
          </a:prstGeom>
        </xdr:spPr>
      </xdr:pic>
      <xdr:pic>
        <xdr:nvPicPr>
          <xdr:cNvPr id="7" name="Picture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3797300" y="3455599"/>
            <a:ext cx="163849" cy="166404"/>
          </a:xfrm>
          <a:prstGeom prst="rect">
            <a:avLst/>
          </a:prstGeom>
        </xdr:spPr>
      </xdr:pic>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797300" y="4317437"/>
            <a:ext cx="159041" cy="161522"/>
          </a:xfrm>
          <a:prstGeom prst="rect">
            <a:avLst/>
          </a:prstGeom>
        </xdr:spPr>
      </xdr:pic>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3797864" y="1738688"/>
            <a:ext cx="157911" cy="160374"/>
          </a:xfrm>
          <a:prstGeom prst="rect">
            <a:avLst/>
          </a:prstGeom>
        </xdr:spPr>
      </xdr:pic>
      <xdr:pic>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3797300" y="3242144"/>
            <a:ext cx="159041" cy="161522"/>
          </a:xfrm>
          <a:prstGeom prst="rect">
            <a:avLst/>
          </a:prstGeom>
        </xdr:spPr>
      </xdr:pic>
      <xdr:pic>
        <xdr:nvPicPr>
          <xdr:cNvPr id="21" name="Picture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3797300" y="2386758"/>
            <a:ext cx="159042" cy="161523"/>
          </a:xfrm>
          <a:prstGeom prst="rect">
            <a:avLst/>
          </a:prstGeom>
        </xdr:spPr>
      </xdr:pic>
      <xdr:pic>
        <xdr:nvPicPr>
          <xdr:cNvPr id="23" name="Picture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xdr:blipFill>
        <xdr:spPr>
          <a:xfrm>
            <a:off x="3797300" y="4744345"/>
            <a:ext cx="159039" cy="161520"/>
          </a:xfrm>
          <a:prstGeom prst="rect">
            <a:avLst/>
          </a:prstGeom>
        </xdr:spPr>
      </xdr:pic>
      <xdr:pic>
        <xdr:nvPicPr>
          <xdr:cNvPr id="24" name="Picture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a:xfrm>
            <a:off x="3797864" y="2600785"/>
            <a:ext cx="157914" cy="160377"/>
          </a:xfrm>
          <a:prstGeom prst="rect">
            <a:avLst/>
          </a:prstGeom>
        </xdr:spPr>
      </xdr:pic>
      <xdr:pic>
        <xdr:nvPicPr>
          <xdr:cNvPr id="25" name="Picture 24">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3797300" y="2813668"/>
            <a:ext cx="159039" cy="161520"/>
          </a:xfrm>
          <a:prstGeom prst="rect">
            <a:avLst/>
          </a:prstGeom>
        </xdr:spPr>
      </xdr:pic>
      <xdr:pic>
        <xdr:nvPicPr>
          <xdr:cNvPr id="28" name="Picture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xdr:blipFill>
        <xdr:spPr>
          <a:xfrm>
            <a:off x="3797300" y="1526452"/>
            <a:ext cx="157276" cy="159730"/>
          </a:xfrm>
          <a:prstGeom prst="rect">
            <a:avLst/>
          </a:prstGeom>
        </xdr:spPr>
      </xdr:pic>
      <xdr:pic>
        <xdr:nvPicPr>
          <xdr:cNvPr id="29" name="Picture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xdr:blipFill>
        <xdr:spPr>
          <a:xfrm>
            <a:off x="3797300" y="4103982"/>
            <a:ext cx="159041" cy="161522"/>
          </a:xfrm>
          <a:prstGeom prst="rect">
            <a:avLst/>
          </a:prstGeom>
        </xdr:spPr>
      </xdr:pic>
      <xdr:pic>
        <xdr:nvPicPr>
          <xdr:cNvPr id="30" name="Picture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3797869" y="1952146"/>
            <a:ext cx="159445" cy="161932"/>
          </a:xfrm>
          <a:prstGeom prst="rect">
            <a:avLst/>
          </a:prstGeom>
        </xdr:spPr>
      </xdr:pic>
      <xdr:pic>
        <xdr:nvPicPr>
          <xdr:cNvPr id="31" name="Picture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3797300" y="4530891"/>
            <a:ext cx="159039" cy="161520"/>
          </a:xfrm>
          <a:prstGeom prst="rect">
            <a:avLst/>
          </a:prstGeom>
        </xdr:spPr>
      </xdr:pic>
      <xdr:pic>
        <xdr:nvPicPr>
          <xdr:cNvPr id="32" name="Picture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xdr:blipFill>
        <xdr:spPr>
          <a:xfrm>
            <a:off x="3797300" y="3888959"/>
            <a:ext cx="160584" cy="163089"/>
          </a:xfrm>
          <a:prstGeom prst="rect">
            <a:avLst/>
          </a:prstGeom>
        </xdr:spPr>
      </xdr:pic>
      <xdr:pic>
        <xdr:nvPicPr>
          <xdr:cNvPr id="34" name="Picture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t="437" b="437"/>
          <a:stretch/>
        </xdr:blipFill>
        <xdr:spPr>
          <a:xfrm>
            <a:off x="3797300" y="2166591"/>
            <a:ext cx="167109" cy="168233"/>
          </a:xfrm>
          <a:prstGeom prst="rect">
            <a:avLst/>
          </a:prstGeom>
        </xdr:spPr>
      </xdr:pic>
      <xdr:pic>
        <xdr:nvPicPr>
          <xdr:cNvPr id="38" name="Picture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xdr:blipFill>
        <xdr:spPr>
          <a:xfrm>
            <a:off x="3797300" y="6672224"/>
            <a:ext cx="160583" cy="163088"/>
          </a:xfrm>
          <a:prstGeom prst="rect">
            <a:avLst/>
          </a:prstGeom>
        </xdr:spPr>
      </xdr:pic>
      <xdr:pic>
        <xdr:nvPicPr>
          <xdr:cNvPr id="39" name="Picture 38">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xdr:blipFill>
        <xdr:spPr>
          <a:xfrm>
            <a:off x="3797300" y="5815274"/>
            <a:ext cx="159039" cy="161520"/>
          </a:xfrm>
          <a:prstGeom prst="rect">
            <a:avLst/>
          </a:prstGeom>
        </xdr:spPr>
      </xdr:pic>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xdr:blipFill>
        <xdr:spPr>
          <a:xfrm>
            <a:off x="3797300" y="7959280"/>
            <a:ext cx="159039" cy="161520"/>
          </a:xfrm>
          <a:prstGeom prst="rect">
            <a:avLst/>
          </a:prstGeom>
        </xdr:spPr>
      </xdr:pic>
      <xdr:pic>
        <xdr:nvPicPr>
          <xdr:cNvPr id="46" name="Picture 4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3797300" y="7315720"/>
            <a:ext cx="160583" cy="163088"/>
          </a:xfrm>
          <a:prstGeom prst="rect">
            <a:avLst/>
          </a:prstGeom>
        </xdr:spPr>
      </xdr:pic>
      <xdr:pic>
        <xdr:nvPicPr>
          <xdr:cNvPr id="51" name="Picture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xdr:blipFill>
        <xdr:spPr>
          <a:xfrm>
            <a:off x="3797300" y="6458770"/>
            <a:ext cx="159039" cy="161520"/>
          </a:xfrm>
          <a:prstGeom prst="rect">
            <a:avLst/>
          </a:prstGeom>
        </xdr:spPr>
      </xdr:pic>
      <xdr:pic>
        <xdr:nvPicPr>
          <xdr:cNvPr id="52" name="Picture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xdr:blipFill>
        <xdr:spPr>
          <a:xfrm>
            <a:off x="3797300" y="8172734"/>
            <a:ext cx="159038" cy="161519"/>
          </a:xfrm>
          <a:prstGeom prst="rect">
            <a:avLst/>
          </a:prstGeom>
        </xdr:spPr>
      </xdr:pic>
      <xdr:pic>
        <xdr:nvPicPr>
          <xdr:cNvPr id="53" name="Picture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3797869" y="6887823"/>
            <a:ext cx="159444" cy="161931"/>
          </a:xfrm>
          <a:prstGeom prst="rect">
            <a:avLst/>
          </a:prstGeom>
        </xdr:spPr>
      </xdr:pic>
      <xdr:pic>
        <xdr:nvPicPr>
          <xdr:cNvPr id="54" name="Picture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a:off x="3797300" y="6028727"/>
            <a:ext cx="160583" cy="163088"/>
          </a:xfrm>
          <a:prstGeom prst="rect">
            <a:avLst/>
          </a:prstGeom>
        </xdr:spPr>
      </xdr:pic>
      <xdr:pic>
        <xdr:nvPicPr>
          <xdr:cNvPr id="55" name="Picture 54">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xdr:blipFill>
        <xdr:spPr>
          <a:xfrm>
            <a:off x="3797869" y="6244327"/>
            <a:ext cx="159444" cy="161931"/>
          </a:xfrm>
          <a:prstGeom prst="rect">
            <a:avLst/>
          </a:prstGeom>
        </xdr:spPr>
      </xdr:pic>
      <xdr:pic>
        <xdr:nvPicPr>
          <xdr:cNvPr id="59" name="Picture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xdr:blipFill>
        <xdr:spPr>
          <a:xfrm>
            <a:off x="3797300" y="5172885"/>
            <a:ext cx="160583" cy="163088"/>
          </a:xfrm>
          <a:prstGeom prst="rect">
            <a:avLst/>
          </a:prstGeom>
        </xdr:spPr>
      </xdr:pic>
      <xdr:pic>
        <xdr:nvPicPr>
          <xdr:cNvPr id="60" name="Picture 5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xdr:blipFill>
        <xdr:spPr>
          <a:xfrm>
            <a:off x="3797300" y="5601359"/>
            <a:ext cx="159494" cy="161982"/>
          </a:xfrm>
          <a:prstGeom prst="rect">
            <a:avLst/>
          </a:prstGeom>
        </xdr:spPr>
      </xdr:pic>
      <xdr:pic>
        <xdr:nvPicPr>
          <xdr:cNvPr id="61" name="Picture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xdr:blipFill>
        <xdr:spPr>
          <a:xfrm>
            <a:off x="3797300" y="5387907"/>
            <a:ext cx="159038" cy="161519"/>
          </a:xfrm>
          <a:prstGeom prst="rect">
            <a:avLst/>
          </a:prstGeom>
        </xdr:spPr>
      </xdr:pic>
      <xdr:pic>
        <xdr:nvPicPr>
          <xdr:cNvPr id="64" name="Picture 63">
            <a:extLst>
              <a:ext uri="{FF2B5EF4-FFF2-40B4-BE49-F238E27FC236}">
                <a16:creationId xmlns:a16="http://schemas.microsoft.com/office/drawing/2014/main" id="{00000000-0008-0000-0100-000040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3797300" y="7745827"/>
            <a:ext cx="159039" cy="161520"/>
          </a:xfrm>
          <a:prstGeom prst="rect">
            <a:avLst/>
          </a:prstGeom>
        </xdr:spPr>
      </xdr:pic>
      <xdr:pic>
        <xdr:nvPicPr>
          <xdr:cNvPr id="65" name="Picture 64">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xdr:blipFill>
        <xdr:spPr>
          <a:xfrm>
            <a:off x="3797300" y="7102266"/>
            <a:ext cx="159039" cy="161520"/>
          </a:xfrm>
          <a:prstGeom prst="rect">
            <a:avLst/>
          </a:prstGeom>
        </xdr:spPr>
      </xdr:pic>
      <xdr:pic>
        <xdr:nvPicPr>
          <xdr:cNvPr id="70" name="Picture 69">
            <a:extLst>
              <a:ext uri="{FF2B5EF4-FFF2-40B4-BE49-F238E27FC236}">
                <a16:creationId xmlns:a16="http://schemas.microsoft.com/office/drawing/2014/main" id="{00000000-0008-0000-0100-000046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xdr:blipFill>
        <xdr:spPr>
          <a:xfrm>
            <a:off x="3797300" y="9673441"/>
            <a:ext cx="160583" cy="163088"/>
          </a:xfrm>
          <a:prstGeom prst="rect">
            <a:avLst/>
          </a:prstGeom>
        </xdr:spPr>
      </xdr:pic>
      <xdr:pic>
        <xdr:nvPicPr>
          <xdr:cNvPr id="77" name="Picture 76">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xdr:blipFill>
        <xdr:spPr>
          <a:xfrm>
            <a:off x="3797300" y="11390474"/>
            <a:ext cx="159038" cy="161519"/>
          </a:xfrm>
          <a:prstGeom prst="rect">
            <a:avLst/>
          </a:prstGeom>
        </xdr:spPr>
      </xdr:pic>
      <xdr:pic>
        <xdr:nvPicPr>
          <xdr:cNvPr id="78" name="Picture 77">
            <a:extLst>
              <a:ext uri="{FF2B5EF4-FFF2-40B4-BE49-F238E27FC236}">
                <a16:creationId xmlns:a16="http://schemas.microsoft.com/office/drawing/2014/main" id="{00000000-0008-0000-0100-00004E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xdr:blipFill>
        <xdr:spPr>
          <a:xfrm>
            <a:off x="3797300" y="10531958"/>
            <a:ext cx="159038" cy="161519"/>
          </a:xfrm>
          <a:prstGeom prst="rect">
            <a:avLst/>
          </a:prstGeom>
        </xdr:spPr>
      </xdr:pic>
      <xdr:pic>
        <xdr:nvPicPr>
          <xdr:cNvPr id="79" name="Picture 78">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xdr:blipFill>
        <xdr:spPr>
          <a:xfrm>
            <a:off x="3797300" y="10745411"/>
            <a:ext cx="160583" cy="163088"/>
          </a:xfrm>
          <a:prstGeom prst="rect">
            <a:avLst/>
          </a:prstGeom>
        </xdr:spPr>
      </xdr:pic>
      <xdr:pic>
        <xdr:nvPicPr>
          <xdr:cNvPr id="80" name="Picture 79">
            <a:extLst>
              <a:ext uri="{FF2B5EF4-FFF2-40B4-BE49-F238E27FC236}">
                <a16:creationId xmlns:a16="http://schemas.microsoft.com/office/drawing/2014/main" id="{00000000-0008-0000-0100-000050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rcRect/>
          <a:stretch/>
        </xdr:blipFill>
        <xdr:spPr>
          <a:xfrm>
            <a:off x="3797300" y="10103483"/>
            <a:ext cx="159039" cy="161520"/>
          </a:xfrm>
          <a:prstGeom prst="rect">
            <a:avLst/>
          </a:prstGeom>
        </xdr:spPr>
      </xdr:pic>
      <xdr:pic>
        <xdr:nvPicPr>
          <xdr:cNvPr id="82" name="Picture 81">
            <a:extLst>
              <a:ext uri="{FF2B5EF4-FFF2-40B4-BE49-F238E27FC236}">
                <a16:creationId xmlns:a16="http://schemas.microsoft.com/office/drawing/2014/main" id="{00000000-0008-0000-0100-000052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xdr:blipFill>
        <xdr:spPr>
          <a:xfrm>
            <a:off x="3797300" y="9458419"/>
            <a:ext cx="160583" cy="163088"/>
          </a:xfrm>
          <a:prstGeom prst="rect">
            <a:avLst/>
          </a:prstGeom>
        </xdr:spPr>
      </xdr:pic>
      <xdr:pic>
        <xdr:nvPicPr>
          <xdr:cNvPr id="83" name="Picture 82">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a:off x="3797300" y="11175453"/>
            <a:ext cx="160583" cy="163088"/>
          </a:xfrm>
          <a:prstGeom prst="rect">
            <a:avLst/>
          </a:prstGeom>
        </xdr:spPr>
      </xdr:pic>
      <xdr:pic>
        <xdr:nvPicPr>
          <xdr:cNvPr id="84" name="Picture 83">
            <a:extLst>
              <a:ext uri="{FF2B5EF4-FFF2-40B4-BE49-F238E27FC236}">
                <a16:creationId xmlns:a16="http://schemas.microsoft.com/office/drawing/2014/main" id="{00000000-0008-0000-0100-000054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xdr:blipFill>
        <xdr:spPr>
          <a:xfrm>
            <a:off x="3797300" y="9888462"/>
            <a:ext cx="160583" cy="163088"/>
          </a:xfrm>
          <a:prstGeom prst="rect">
            <a:avLst/>
          </a:prstGeom>
        </xdr:spPr>
      </xdr:pic>
      <xdr:pic>
        <xdr:nvPicPr>
          <xdr:cNvPr id="85" name="Picture 84">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xdr:blipFill>
        <xdr:spPr>
          <a:xfrm>
            <a:off x="3797300" y="10960432"/>
            <a:ext cx="160583" cy="163088"/>
          </a:xfrm>
          <a:prstGeom prst="rect">
            <a:avLst/>
          </a:prstGeom>
        </xdr:spPr>
      </xdr:pic>
      <xdr:pic>
        <xdr:nvPicPr>
          <xdr:cNvPr id="86" name="Picture 85">
            <a:extLst>
              <a:ext uri="{FF2B5EF4-FFF2-40B4-BE49-F238E27FC236}">
                <a16:creationId xmlns:a16="http://schemas.microsoft.com/office/drawing/2014/main" id="{00000000-0008-0000-0100-00005600000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a:stretch/>
        </xdr:blipFill>
        <xdr:spPr>
          <a:xfrm>
            <a:off x="3797869" y="10317515"/>
            <a:ext cx="159444" cy="161931"/>
          </a:xfrm>
          <a:prstGeom prst="rect">
            <a:avLst/>
          </a:prstGeom>
        </xdr:spPr>
      </xdr:pic>
      <xdr:pic>
        <xdr:nvPicPr>
          <xdr:cNvPr id="92" name="Picture 91">
            <a:extLst>
              <a:ext uri="{FF2B5EF4-FFF2-40B4-BE49-F238E27FC236}">
                <a16:creationId xmlns:a16="http://schemas.microsoft.com/office/drawing/2014/main" id="{00000000-0008-0000-0100-00005C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xdr:blipFill>
        <xdr:spPr>
          <a:xfrm>
            <a:off x="3797300" y="8386186"/>
            <a:ext cx="159039" cy="161520"/>
          </a:xfrm>
          <a:prstGeom prst="rect">
            <a:avLst/>
          </a:prstGeom>
        </xdr:spPr>
      </xdr:pic>
      <xdr:pic>
        <xdr:nvPicPr>
          <xdr:cNvPr id="93" name="Picture 92">
            <a:extLst>
              <a:ext uri="{FF2B5EF4-FFF2-40B4-BE49-F238E27FC236}">
                <a16:creationId xmlns:a16="http://schemas.microsoft.com/office/drawing/2014/main" id="{00000000-0008-0000-0100-00005D000000}"/>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rcRect/>
          <a:stretch/>
        </xdr:blipFill>
        <xdr:spPr>
          <a:xfrm>
            <a:off x="3797300" y="9030802"/>
            <a:ext cx="159494" cy="161982"/>
          </a:xfrm>
          <a:prstGeom prst="rect">
            <a:avLst/>
          </a:prstGeom>
        </xdr:spPr>
      </xdr:pic>
      <xdr:pic>
        <xdr:nvPicPr>
          <xdr:cNvPr id="99" name="Picture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a:stretch/>
        </xdr:blipFill>
        <xdr:spPr>
          <a:xfrm>
            <a:off x="3797300" y="8599640"/>
            <a:ext cx="161622" cy="164144"/>
          </a:xfrm>
          <a:prstGeom prst="rect">
            <a:avLst/>
          </a:prstGeom>
        </xdr:spPr>
      </xdr:pic>
      <xdr:pic>
        <xdr:nvPicPr>
          <xdr:cNvPr id="139" name="Picture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xdr:blipFill>
        <xdr:spPr>
          <a:xfrm>
            <a:off x="3797300" y="4957798"/>
            <a:ext cx="160647" cy="163152"/>
          </a:xfrm>
          <a:prstGeom prst="rect">
            <a:avLst/>
          </a:prstGeom>
        </xdr:spPr>
      </xdr:pic>
      <xdr:pic>
        <xdr:nvPicPr>
          <xdr:cNvPr id="141" name="Picture 140">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rcRect/>
          <a:stretch/>
        </xdr:blipFill>
        <xdr:spPr>
          <a:xfrm>
            <a:off x="3797300" y="7530741"/>
            <a:ext cx="160647" cy="163152"/>
          </a:xfrm>
          <a:prstGeom prst="rect">
            <a:avLst/>
          </a:prstGeom>
        </xdr:spPr>
      </xdr:pic>
      <xdr:pic>
        <xdr:nvPicPr>
          <xdr:cNvPr id="143" name="Picture 142">
            <a:extLst>
              <a:ext uri="{FF2B5EF4-FFF2-40B4-BE49-F238E27FC236}">
                <a16:creationId xmlns:a16="http://schemas.microsoft.com/office/drawing/2014/main" id="{00000000-0008-0000-0100-00008F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xdr:blipFill>
        <xdr:spPr>
          <a:xfrm>
            <a:off x="3797870" y="8816296"/>
            <a:ext cx="159506" cy="161994"/>
          </a:xfrm>
          <a:prstGeom prst="rect">
            <a:avLst/>
          </a:prstGeom>
        </xdr:spPr>
      </xdr:pic>
      <xdr:pic>
        <xdr:nvPicPr>
          <xdr:cNvPr id="148" name="Picture 147">
            <a:extLst>
              <a:ext uri="{FF2B5EF4-FFF2-40B4-BE49-F238E27FC236}">
                <a16:creationId xmlns:a16="http://schemas.microsoft.com/office/drawing/2014/main" id="{00000000-0008-0000-0100-000094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xdr:blipFill>
        <xdr:spPr>
          <a:xfrm>
            <a:off x="3797307" y="16726790"/>
            <a:ext cx="159412" cy="161899"/>
          </a:xfrm>
          <a:prstGeom prst="rect">
            <a:avLst/>
          </a:prstGeom>
        </xdr:spPr>
      </xdr:pic>
      <xdr:pic>
        <xdr:nvPicPr>
          <xdr:cNvPr id="149" name="Picture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3797300" y="9244717"/>
            <a:ext cx="159284" cy="161769"/>
          </a:xfrm>
          <a:prstGeom prst="rect">
            <a:avLst/>
          </a:prstGeom>
        </xdr:spPr>
      </xdr:pic>
      <xdr:pic>
        <xdr:nvPicPr>
          <xdr:cNvPr id="228" name="Picture 227">
            <a:extLst>
              <a:ext uri="{FF2B5EF4-FFF2-40B4-BE49-F238E27FC236}">
                <a16:creationId xmlns:a16="http://schemas.microsoft.com/office/drawing/2014/main" id="{A605EA61-815D-13FD-CEE5-7EEB7CA35E5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xdr:blipFill>
        <xdr:spPr>
          <a:xfrm>
            <a:off x="3797864" y="11604500"/>
            <a:ext cx="157910" cy="160373"/>
          </a:xfrm>
          <a:prstGeom prst="rect">
            <a:avLst/>
          </a:prstGeom>
        </xdr:spPr>
      </xdr:pic>
      <xdr:pic>
        <xdr:nvPicPr>
          <xdr:cNvPr id="229" name="Picture 228">
            <a:extLst>
              <a:ext uri="{FF2B5EF4-FFF2-40B4-BE49-F238E27FC236}">
                <a16:creationId xmlns:a16="http://schemas.microsoft.com/office/drawing/2014/main" id="{10B513A2-5542-B172-A847-3ABCBC9EDD1F}"/>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xdr:blipFill>
        <xdr:spPr>
          <a:xfrm>
            <a:off x="3797300" y="11817379"/>
            <a:ext cx="159038" cy="161519"/>
          </a:xfrm>
          <a:prstGeom prst="rect">
            <a:avLst/>
          </a:prstGeom>
        </xdr:spPr>
      </xdr:pic>
      <xdr:pic>
        <xdr:nvPicPr>
          <xdr:cNvPr id="230" name="Picture 229">
            <a:extLst>
              <a:ext uri="{FF2B5EF4-FFF2-40B4-BE49-F238E27FC236}">
                <a16:creationId xmlns:a16="http://schemas.microsoft.com/office/drawing/2014/main" id="{5E4F2BFA-1A0E-8D08-64C6-87C9760F5EE9}"/>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xdr:blipFill>
        <xdr:spPr>
          <a:xfrm>
            <a:off x="3797300" y="12030831"/>
            <a:ext cx="159038" cy="161519"/>
          </a:xfrm>
          <a:prstGeom prst="rect">
            <a:avLst/>
          </a:prstGeom>
        </xdr:spPr>
      </xdr:pic>
      <xdr:pic>
        <xdr:nvPicPr>
          <xdr:cNvPr id="231" name="Picture 230">
            <a:extLst>
              <a:ext uri="{FF2B5EF4-FFF2-40B4-BE49-F238E27FC236}">
                <a16:creationId xmlns:a16="http://schemas.microsoft.com/office/drawing/2014/main" id="{7CC560DD-99FE-FCA0-BE0B-F9C84681CC3D}"/>
              </a:ext>
            </a:extLst>
          </xdr:cNvPr>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rcRect/>
          <a:stretch/>
        </xdr:blipFill>
        <xdr:spPr>
          <a:xfrm>
            <a:off x="3797300" y="12244284"/>
            <a:ext cx="159038" cy="161519"/>
          </a:xfrm>
          <a:prstGeom prst="rect">
            <a:avLst/>
          </a:prstGeom>
        </xdr:spPr>
      </xdr:pic>
      <xdr:pic>
        <xdr:nvPicPr>
          <xdr:cNvPr id="232" name="Picture 231">
            <a:extLst>
              <a:ext uri="{FF2B5EF4-FFF2-40B4-BE49-F238E27FC236}">
                <a16:creationId xmlns:a16="http://schemas.microsoft.com/office/drawing/2014/main" id="{DAC13D7D-75DC-5E91-8BB2-E3D67C396911}"/>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xdr:blipFill>
        <xdr:spPr>
          <a:xfrm>
            <a:off x="3797300" y="12457736"/>
            <a:ext cx="159038" cy="161519"/>
          </a:xfrm>
          <a:prstGeom prst="rect">
            <a:avLst/>
          </a:prstGeom>
        </xdr:spPr>
      </xdr:pic>
      <xdr:pic>
        <xdr:nvPicPr>
          <xdr:cNvPr id="233" name="Picture 232">
            <a:extLst>
              <a:ext uri="{FF2B5EF4-FFF2-40B4-BE49-F238E27FC236}">
                <a16:creationId xmlns:a16="http://schemas.microsoft.com/office/drawing/2014/main" id="{E8E399B8-1739-7CAE-D7C9-701708FD2C5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rcRect/>
          <a:stretch/>
        </xdr:blipFill>
        <xdr:spPr>
          <a:xfrm>
            <a:off x="3797300" y="12671188"/>
            <a:ext cx="159038" cy="161519"/>
          </a:xfrm>
          <a:prstGeom prst="rect">
            <a:avLst/>
          </a:prstGeom>
        </xdr:spPr>
      </xdr:pic>
      <xdr:pic>
        <xdr:nvPicPr>
          <xdr:cNvPr id="234" name="Picture 233">
            <a:extLst>
              <a:ext uri="{FF2B5EF4-FFF2-40B4-BE49-F238E27FC236}">
                <a16:creationId xmlns:a16="http://schemas.microsoft.com/office/drawing/2014/main" id="{05143C68-21E4-B812-4AEE-0B5617D27285}"/>
              </a:ext>
            </a:extLst>
          </xdr:cNvPr>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rcRect/>
          <a:stretch/>
        </xdr:blipFill>
        <xdr:spPr>
          <a:xfrm>
            <a:off x="3797300" y="12884640"/>
            <a:ext cx="159038" cy="161519"/>
          </a:xfrm>
          <a:prstGeom prst="rect">
            <a:avLst/>
          </a:prstGeom>
        </xdr:spPr>
      </xdr:pic>
      <xdr:pic>
        <xdr:nvPicPr>
          <xdr:cNvPr id="235" name="Picture 234">
            <a:extLst>
              <a:ext uri="{FF2B5EF4-FFF2-40B4-BE49-F238E27FC236}">
                <a16:creationId xmlns:a16="http://schemas.microsoft.com/office/drawing/2014/main" id="{53BF456D-7B0A-92DF-7345-CACB35C03EA1}"/>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xdr:blipFill>
        <xdr:spPr>
          <a:xfrm>
            <a:off x="3797300" y="13098093"/>
            <a:ext cx="159038" cy="161519"/>
          </a:xfrm>
          <a:prstGeom prst="rect">
            <a:avLst/>
          </a:prstGeom>
        </xdr:spPr>
      </xdr:pic>
      <xdr:pic>
        <xdr:nvPicPr>
          <xdr:cNvPr id="236" name="Picture 235">
            <a:extLst>
              <a:ext uri="{FF2B5EF4-FFF2-40B4-BE49-F238E27FC236}">
                <a16:creationId xmlns:a16="http://schemas.microsoft.com/office/drawing/2014/main" id="{576A70E3-E7D5-7797-3676-2DD188A1DD94}"/>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xdr:blipFill>
        <xdr:spPr>
          <a:xfrm>
            <a:off x="3797300" y="13311545"/>
            <a:ext cx="159038" cy="161519"/>
          </a:xfrm>
          <a:prstGeom prst="rect">
            <a:avLst/>
          </a:prstGeom>
        </xdr:spPr>
      </xdr:pic>
      <xdr:pic>
        <xdr:nvPicPr>
          <xdr:cNvPr id="237" name="Picture 236">
            <a:extLst>
              <a:ext uri="{FF2B5EF4-FFF2-40B4-BE49-F238E27FC236}">
                <a16:creationId xmlns:a16="http://schemas.microsoft.com/office/drawing/2014/main" id="{D28D60EA-7542-DE2A-EEE5-5435E7D10CCF}"/>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xdr:blipFill>
        <xdr:spPr>
          <a:xfrm>
            <a:off x="3797864" y="13525570"/>
            <a:ext cx="157910" cy="160373"/>
          </a:xfrm>
          <a:prstGeom prst="rect">
            <a:avLst/>
          </a:prstGeom>
        </xdr:spPr>
      </xdr:pic>
      <xdr:pic>
        <xdr:nvPicPr>
          <xdr:cNvPr id="238" name="Picture 237">
            <a:extLst>
              <a:ext uri="{FF2B5EF4-FFF2-40B4-BE49-F238E27FC236}">
                <a16:creationId xmlns:a16="http://schemas.microsoft.com/office/drawing/2014/main" id="{20F12914-2C45-C346-D358-91D78582D31E}"/>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rcRect/>
          <a:stretch/>
        </xdr:blipFill>
        <xdr:spPr>
          <a:xfrm>
            <a:off x="3797300" y="13738450"/>
            <a:ext cx="159038" cy="161519"/>
          </a:xfrm>
          <a:prstGeom prst="rect">
            <a:avLst/>
          </a:prstGeom>
        </xdr:spPr>
      </xdr:pic>
      <xdr:pic>
        <xdr:nvPicPr>
          <xdr:cNvPr id="239" name="Picture 238">
            <a:extLst>
              <a:ext uri="{FF2B5EF4-FFF2-40B4-BE49-F238E27FC236}">
                <a16:creationId xmlns:a16="http://schemas.microsoft.com/office/drawing/2014/main" id="{8BF71B28-3BD6-B93F-5A0E-865F7AE3D10E}"/>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xdr:blipFill>
        <xdr:spPr>
          <a:xfrm>
            <a:off x="3797300" y="13951902"/>
            <a:ext cx="159038" cy="161519"/>
          </a:xfrm>
          <a:prstGeom prst="rect">
            <a:avLst/>
          </a:prstGeom>
        </xdr:spPr>
      </xdr:pic>
      <xdr:pic>
        <xdr:nvPicPr>
          <xdr:cNvPr id="240" name="Picture 239">
            <a:extLst>
              <a:ext uri="{FF2B5EF4-FFF2-40B4-BE49-F238E27FC236}">
                <a16:creationId xmlns:a16="http://schemas.microsoft.com/office/drawing/2014/main" id="{F825C4C5-B20F-C202-47AC-C1F4D000A083}"/>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xdr:blipFill>
        <xdr:spPr>
          <a:xfrm>
            <a:off x="3797300" y="14165354"/>
            <a:ext cx="159038" cy="161519"/>
          </a:xfrm>
          <a:prstGeom prst="rect">
            <a:avLst/>
          </a:prstGeom>
        </xdr:spPr>
      </xdr:pic>
      <xdr:pic>
        <xdr:nvPicPr>
          <xdr:cNvPr id="241" name="Picture 240">
            <a:extLst>
              <a:ext uri="{FF2B5EF4-FFF2-40B4-BE49-F238E27FC236}">
                <a16:creationId xmlns:a16="http://schemas.microsoft.com/office/drawing/2014/main" id="{723AE95A-EF91-0229-D658-2FC20E64FDA6}"/>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xdr:blipFill>
        <xdr:spPr>
          <a:xfrm>
            <a:off x="3797300" y="14378806"/>
            <a:ext cx="159038" cy="161519"/>
          </a:xfrm>
          <a:prstGeom prst="rect">
            <a:avLst/>
          </a:prstGeom>
        </xdr:spPr>
      </xdr:pic>
      <xdr:pic>
        <xdr:nvPicPr>
          <xdr:cNvPr id="242" name="Picture 241">
            <a:extLst>
              <a:ext uri="{FF2B5EF4-FFF2-40B4-BE49-F238E27FC236}">
                <a16:creationId xmlns:a16="http://schemas.microsoft.com/office/drawing/2014/main" id="{F710DC07-8BD1-0EC4-E413-EC12CA04872C}"/>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rcRect/>
          <a:stretch/>
        </xdr:blipFill>
        <xdr:spPr>
          <a:xfrm>
            <a:off x="3797864" y="14592832"/>
            <a:ext cx="157910" cy="160373"/>
          </a:xfrm>
          <a:prstGeom prst="rect">
            <a:avLst/>
          </a:prstGeom>
        </xdr:spPr>
      </xdr:pic>
      <xdr:pic>
        <xdr:nvPicPr>
          <xdr:cNvPr id="243" name="Picture 242">
            <a:extLst>
              <a:ext uri="{FF2B5EF4-FFF2-40B4-BE49-F238E27FC236}">
                <a16:creationId xmlns:a16="http://schemas.microsoft.com/office/drawing/2014/main" id="{4CB05A25-3A6E-388A-7609-F0B795D11A21}"/>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rcRect/>
          <a:stretch/>
        </xdr:blipFill>
        <xdr:spPr>
          <a:xfrm>
            <a:off x="3797300" y="14805711"/>
            <a:ext cx="159038" cy="161519"/>
          </a:xfrm>
          <a:prstGeom prst="rect">
            <a:avLst/>
          </a:prstGeom>
        </xdr:spPr>
      </xdr:pic>
      <xdr:pic>
        <xdr:nvPicPr>
          <xdr:cNvPr id="244" name="Picture 243">
            <a:extLst>
              <a:ext uri="{FF2B5EF4-FFF2-40B4-BE49-F238E27FC236}">
                <a16:creationId xmlns:a16="http://schemas.microsoft.com/office/drawing/2014/main" id="{5F6FADD9-B72D-E956-903C-5F5959D59DDA}"/>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rcRect/>
          <a:stretch/>
        </xdr:blipFill>
        <xdr:spPr>
          <a:xfrm>
            <a:off x="3797300" y="15019163"/>
            <a:ext cx="159038" cy="161519"/>
          </a:xfrm>
          <a:prstGeom prst="rect">
            <a:avLst/>
          </a:prstGeom>
        </xdr:spPr>
      </xdr:pic>
      <xdr:pic>
        <xdr:nvPicPr>
          <xdr:cNvPr id="245" name="Picture 244">
            <a:extLst>
              <a:ext uri="{FF2B5EF4-FFF2-40B4-BE49-F238E27FC236}">
                <a16:creationId xmlns:a16="http://schemas.microsoft.com/office/drawing/2014/main" id="{6FFCDC5B-C643-DBE5-5A52-32AE8109691D}"/>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rcRect/>
          <a:stretch/>
        </xdr:blipFill>
        <xdr:spPr>
          <a:xfrm>
            <a:off x="3797300" y="15232615"/>
            <a:ext cx="159038" cy="161519"/>
          </a:xfrm>
          <a:prstGeom prst="rect">
            <a:avLst/>
          </a:prstGeom>
        </xdr:spPr>
      </xdr:pic>
      <xdr:pic>
        <xdr:nvPicPr>
          <xdr:cNvPr id="246" name="Picture 245">
            <a:extLst>
              <a:ext uri="{FF2B5EF4-FFF2-40B4-BE49-F238E27FC236}">
                <a16:creationId xmlns:a16="http://schemas.microsoft.com/office/drawing/2014/main" id="{ADC05B20-1702-EA75-5159-C228FC022FA7}"/>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rcRect/>
          <a:stretch/>
        </xdr:blipFill>
        <xdr:spPr>
          <a:xfrm>
            <a:off x="3797300" y="15446068"/>
            <a:ext cx="159038" cy="161519"/>
          </a:xfrm>
          <a:prstGeom prst="rect">
            <a:avLst/>
          </a:prstGeom>
        </xdr:spPr>
      </xdr:pic>
      <xdr:pic>
        <xdr:nvPicPr>
          <xdr:cNvPr id="247" name="Picture 246">
            <a:extLst>
              <a:ext uri="{FF2B5EF4-FFF2-40B4-BE49-F238E27FC236}">
                <a16:creationId xmlns:a16="http://schemas.microsoft.com/office/drawing/2014/main" id="{09B87832-4A58-F2A7-4B38-BE67D604C052}"/>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xdr:blipFill>
        <xdr:spPr>
          <a:xfrm>
            <a:off x="3797300" y="15659520"/>
            <a:ext cx="159038" cy="161519"/>
          </a:xfrm>
          <a:prstGeom prst="rect">
            <a:avLst/>
          </a:prstGeom>
        </xdr:spPr>
      </xdr:pic>
      <xdr:pic>
        <xdr:nvPicPr>
          <xdr:cNvPr id="248" name="Picture 247">
            <a:extLst>
              <a:ext uri="{FF2B5EF4-FFF2-40B4-BE49-F238E27FC236}">
                <a16:creationId xmlns:a16="http://schemas.microsoft.com/office/drawing/2014/main" id="{21D76DBD-24A6-DD73-F065-E6E317353852}"/>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rcRect/>
          <a:stretch/>
        </xdr:blipFill>
        <xdr:spPr>
          <a:xfrm>
            <a:off x="3797300" y="15872972"/>
            <a:ext cx="159038" cy="161519"/>
          </a:xfrm>
          <a:prstGeom prst="rect">
            <a:avLst/>
          </a:prstGeom>
        </xdr:spPr>
      </xdr:pic>
      <xdr:pic>
        <xdr:nvPicPr>
          <xdr:cNvPr id="249" name="Picture 248">
            <a:extLst>
              <a:ext uri="{FF2B5EF4-FFF2-40B4-BE49-F238E27FC236}">
                <a16:creationId xmlns:a16="http://schemas.microsoft.com/office/drawing/2014/main" id="{56D7C6B6-9610-9D05-809D-80039503BA1C}"/>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xdr:blipFill>
        <xdr:spPr>
          <a:xfrm>
            <a:off x="3797300" y="16086425"/>
            <a:ext cx="159038" cy="161519"/>
          </a:xfrm>
          <a:prstGeom prst="rect">
            <a:avLst/>
          </a:prstGeom>
        </xdr:spPr>
      </xdr:pic>
      <xdr:pic>
        <xdr:nvPicPr>
          <xdr:cNvPr id="250" name="Picture 249">
            <a:extLst>
              <a:ext uri="{FF2B5EF4-FFF2-40B4-BE49-F238E27FC236}">
                <a16:creationId xmlns:a16="http://schemas.microsoft.com/office/drawing/2014/main" id="{248E6CA2-3C87-A43B-A915-07C6BA669BAF}"/>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rcRect/>
          <a:stretch/>
        </xdr:blipFill>
        <xdr:spPr>
          <a:xfrm>
            <a:off x="3797300" y="16299877"/>
            <a:ext cx="159038" cy="161519"/>
          </a:xfrm>
          <a:prstGeom prst="rect">
            <a:avLst/>
          </a:prstGeom>
        </xdr:spPr>
      </xdr:pic>
      <xdr:pic>
        <xdr:nvPicPr>
          <xdr:cNvPr id="251" name="Picture 250">
            <a:extLst>
              <a:ext uri="{FF2B5EF4-FFF2-40B4-BE49-F238E27FC236}">
                <a16:creationId xmlns:a16="http://schemas.microsoft.com/office/drawing/2014/main" id="{BE494641-321F-E3BA-5B15-3E1206FB373B}"/>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rcRect/>
          <a:stretch/>
        </xdr:blipFill>
        <xdr:spPr>
          <a:xfrm>
            <a:off x="3797300" y="16513329"/>
            <a:ext cx="159038" cy="161519"/>
          </a:xfrm>
          <a:prstGeom prst="rect">
            <a:avLst/>
          </a:prstGeom>
        </xdr:spPr>
      </xdr:pic>
    </xdr:grpSp>
    <xdr:clientData/>
  </xdr:twoCellAnchor>
  <xdr:twoCellAnchor editAs="oneCell">
    <xdr:from>
      <xdr:col>8</xdr:col>
      <xdr:colOff>57443</xdr:colOff>
      <xdr:row>3</xdr:row>
      <xdr:rowOff>33623</xdr:rowOff>
    </xdr:from>
    <xdr:to>
      <xdr:col>8</xdr:col>
      <xdr:colOff>194602</xdr:colOff>
      <xdr:row>74</xdr:row>
      <xdr:rowOff>156631</xdr:rowOff>
    </xdr:to>
    <xdr:grpSp>
      <xdr:nvGrpSpPr>
        <xdr:cNvPr id="72" name="Group 71">
          <a:extLst>
            <a:ext uri="{FF2B5EF4-FFF2-40B4-BE49-F238E27FC236}">
              <a16:creationId xmlns:a16="http://schemas.microsoft.com/office/drawing/2014/main" id="{00000000-0008-0000-0100-000048000000}"/>
            </a:ext>
          </a:extLst>
        </xdr:cNvPr>
        <xdr:cNvGrpSpPr/>
      </xdr:nvGrpSpPr>
      <xdr:grpSpPr>
        <a:xfrm>
          <a:off x="3010193" y="665737"/>
          <a:ext cx="137159" cy="12418917"/>
          <a:chOff x="3061007" y="1514338"/>
          <a:chExt cx="167109" cy="15377518"/>
        </a:xfrm>
      </xdr:grpSpPr>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rcRect/>
          <a:stretch/>
        </xdr:blipFill>
        <xdr:spPr>
          <a:xfrm>
            <a:off x="3061007" y="4730945"/>
            <a:ext cx="160473" cy="163090"/>
          </a:xfrm>
          <a:prstGeom prst="rect">
            <a:avLst/>
          </a:prstGeom>
        </xdr:spPr>
      </xdr:pic>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xdr:blipFill>
        <xdr:spPr>
          <a:xfrm>
            <a:off x="3061007" y="2379862"/>
            <a:ext cx="158929" cy="161521"/>
          </a:xfrm>
          <a:prstGeom prst="rect">
            <a:avLst/>
          </a:prstGeom>
        </xdr:spPr>
      </xdr:pic>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xdr:blipFill>
        <xdr:spPr>
          <a:xfrm>
            <a:off x="3061007" y="1731675"/>
            <a:ext cx="162237" cy="164883"/>
          </a:xfrm>
          <a:prstGeom prst="rect">
            <a:avLst/>
          </a:prstGeom>
        </xdr:spPr>
      </xdr:pic>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rcRect/>
          <a:stretch/>
        </xdr:blipFill>
        <xdr:spPr>
          <a:xfrm>
            <a:off x="3061007" y="4088374"/>
            <a:ext cx="160473" cy="163090"/>
          </a:xfrm>
          <a:prstGeom prst="rect">
            <a:avLst/>
          </a:prstGeom>
        </xdr:spPr>
      </xdr:pic>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rcRect/>
          <a:stretch/>
        </xdr:blipFill>
        <xdr:spPr>
          <a:xfrm>
            <a:off x="3061007" y="3662086"/>
            <a:ext cx="158929" cy="161521"/>
          </a:xfrm>
          <a:prstGeom prst="rect">
            <a:avLst/>
          </a:prstGeom>
        </xdr:spPr>
      </xdr:pic>
      <xdr:pic>
        <xdr:nvPicPr>
          <xdr:cNvPr id="13" name="Picture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xdr:blipFill>
        <xdr:spPr>
          <a:xfrm>
            <a:off x="3061007" y="3448943"/>
            <a:ext cx="158928" cy="161520"/>
          </a:xfrm>
          <a:prstGeom prst="rect">
            <a:avLst/>
          </a:prstGeom>
        </xdr:spPr>
      </xdr:pic>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xdr:blipFill>
        <xdr:spPr>
          <a:xfrm>
            <a:off x="3061571" y="3875804"/>
            <a:ext cx="157800" cy="160374"/>
          </a:xfrm>
          <a:prstGeom prst="rect">
            <a:avLst/>
          </a:prstGeom>
        </xdr:spPr>
      </xdr:pic>
      <xdr:pic>
        <xdr:nvPicPr>
          <xdr:cNvPr id="16" name="Picture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xdr:blipFill>
        <xdr:spPr>
          <a:xfrm>
            <a:off x="3061007" y="3022655"/>
            <a:ext cx="158928" cy="161520"/>
          </a:xfrm>
          <a:prstGeom prst="rect">
            <a:avLst/>
          </a:prstGeom>
        </xdr:spPr>
      </xdr:pic>
      <xdr:pic>
        <xdr:nvPicPr>
          <xdr:cNvPr id="17" name="Picture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rcRect/>
          <a:stretch/>
        </xdr:blipFill>
        <xdr:spPr>
          <a:xfrm>
            <a:off x="3061007" y="4517801"/>
            <a:ext cx="158929" cy="161521"/>
          </a:xfrm>
          <a:prstGeom prst="rect">
            <a:avLst/>
          </a:prstGeom>
        </xdr:spPr>
      </xdr:pic>
      <xdr:pic>
        <xdr:nvPicPr>
          <xdr:cNvPr id="18" name="Picture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xdr:blipFill>
        <xdr:spPr>
          <a:xfrm>
            <a:off x="3061007" y="2809512"/>
            <a:ext cx="158928" cy="161520"/>
          </a:xfrm>
          <a:prstGeom prst="rect">
            <a:avLst/>
          </a:prstGeom>
        </xdr:spPr>
      </xdr:pic>
      <xdr:pic>
        <xdr:nvPicPr>
          <xdr:cNvPr id="19" name="Picture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rcRect/>
          <a:stretch/>
        </xdr:blipFill>
        <xdr:spPr>
          <a:xfrm>
            <a:off x="3061007" y="4303087"/>
            <a:ext cx="160473" cy="163090"/>
          </a:xfrm>
          <a:prstGeom prst="rect">
            <a:avLst/>
          </a:prstGeom>
        </xdr:spPr>
      </xdr:pic>
      <xdr:pic>
        <xdr:nvPicPr>
          <xdr:cNvPr id="20" name="Picture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xdr:blipFill>
        <xdr:spPr>
          <a:xfrm>
            <a:off x="3061007" y="3235798"/>
            <a:ext cx="158929" cy="161521"/>
          </a:xfrm>
          <a:prstGeom prst="rect">
            <a:avLst/>
          </a:prstGeom>
        </xdr:spPr>
      </xdr:pic>
      <xdr:pic>
        <xdr:nvPicPr>
          <xdr:cNvPr id="22" name="Picture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rcRect/>
          <a:stretch/>
        </xdr:blipFill>
        <xdr:spPr>
          <a:xfrm>
            <a:off x="3061007" y="2593006"/>
            <a:ext cx="162237" cy="164883"/>
          </a:xfrm>
          <a:prstGeom prst="rect">
            <a:avLst/>
          </a:prstGeom>
        </xdr:spPr>
      </xdr:pic>
      <xdr:pic>
        <xdr:nvPicPr>
          <xdr:cNvPr id="26" name="Picture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a:stretch/>
        </xdr:blipFill>
        <xdr:spPr>
          <a:xfrm>
            <a:off x="3061007" y="1948180"/>
            <a:ext cx="160474" cy="163091"/>
          </a:xfrm>
          <a:prstGeom prst="rect">
            <a:avLst/>
          </a:prstGeom>
        </xdr:spPr>
      </xdr:pic>
      <xdr:pic>
        <xdr:nvPicPr>
          <xdr:cNvPr id="27" name="Picture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65" cstate="print">
            <a:extLst>
              <a:ext uri="{28A0092B-C50C-407E-A947-70E740481C1C}">
                <a14:useLocalDpi xmlns:a14="http://schemas.microsoft.com/office/drawing/2010/main" val="0"/>
              </a:ext>
            </a:extLst>
          </a:blip>
          <a:srcRect/>
          <a:stretch/>
        </xdr:blipFill>
        <xdr:spPr>
          <a:xfrm>
            <a:off x="3061007" y="2162894"/>
            <a:ext cx="162691" cy="165345"/>
          </a:xfrm>
          <a:prstGeom prst="rect">
            <a:avLst/>
          </a:prstGeom>
        </xdr:spPr>
      </xdr:pic>
      <xdr:pic>
        <xdr:nvPicPr>
          <xdr:cNvPr id="33" name="Picture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Lst>
          </a:blip>
          <a:srcRect/>
          <a:stretch/>
        </xdr:blipFill>
        <xdr:spPr>
          <a:xfrm>
            <a:off x="3061007" y="1514338"/>
            <a:ext cx="163054" cy="165714"/>
          </a:xfrm>
          <a:prstGeom prst="rect">
            <a:avLst/>
          </a:prstGeom>
        </xdr:spPr>
      </xdr:pic>
      <xdr:pic>
        <xdr:nvPicPr>
          <xdr:cNvPr id="36" name="Picture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a:xfrm>
            <a:off x="3061576" y="7944004"/>
            <a:ext cx="159333" cy="161932"/>
          </a:xfrm>
          <a:prstGeom prst="rect">
            <a:avLst/>
          </a:prstGeom>
        </xdr:spPr>
      </xdr:pic>
      <xdr:pic>
        <xdr:nvPicPr>
          <xdr:cNvPr id="37" name="Picture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xdr:blipFill>
        <xdr:spPr>
          <a:xfrm>
            <a:off x="3061007" y="6448276"/>
            <a:ext cx="158929" cy="161521"/>
          </a:xfrm>
          <a:prstGeom prst="rect">
            <a:avLst/>
          </a:prstGeom>
        </xdr:spPr>
      </xdr:pic>
      <xdr:pic>
        <xdr:nvPicPr>
          <xdr:cNvPr id="40" name="Picture 39">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3061576" y="6662000"/>
            <a:ext cx="159333" cy="161932"/>
          </a:xfrm>
          <a:prstGeom prst="rect">
            <a:avLst/>
          </a:prstGeom>
        </xdr:spPr>
      </xdr:pic>
      <xdr:pic>
        <xdr:nvPicPr>
          <xdr:cNvPr id="41" name="Picture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3061007" y="7730280"/>
            <a:ext cx="158929" cy="161521"/>
          </a:xfrm>
          <a:prstGeom prst="rect">
            <a:avLst/>
          </a:prstGeom>
        </xdr:spPr>
      </xdr:pic>
      <xdr:pic>
        <xdr:nvPicPr>
          <xdr:cNvPr id="43" name="Picture 42">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xdr:blipFill>
        <xdr:spPr>
          <a:xfrm>
            <a:off x="3061007" y="5592563"/>
            <a:ext cx="158928" cy="161520"/>
          </a:xfrm>
          <a:prstGeom prst="rect">
            <a:avLst/>
          </a:prstGeom>
        </xdr:spPr>
      </xdr:pic>
      <xdr:pic>
        <xdr:nvPicPr>
          <xdr:cNvPr id="45" name="Picture 44">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rcRect/>
          <a:stretch/>
        </xdr:blipFill>
        <xdr:spPr>
          <a:xfrm>
            <a:off x="3061007" y="7303992"/>
            <a:ext cx="158928" cy="161520"/>
          </a:xfrm>
          <a:prstGeom prst="rect">
            <a:avLst/>
          </a:prstGeom>
        </xdr:spPr>
      </xdr:pic>
      <xdr:pic>
        <xdr:nvPicPr>
          <xdr:cNvPr id="47" name="Picture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rcRect/>
          <a:stretch/>
        </xdr:blipFill>
        <xdr:spPr>
          <a:xfrm>
            <a:off x="3061007" y="6876134"/>
            <a:ext cx="158929" cy="161521"/>
          </a:xfrm>
          <a:prstGeom prst="rect">
            <a:avLst/>
          </a:prstGeom>
        </xdr:spPr>
      </xdr:pic>
      <xdr:pic>
        <xdr:nvPicPr>
          <xdr:cNvPr id="48" name="Picture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rcRect/>
          <a:stretch/>
        </xdr:blipFill>
        <xdr:spPr>
          <a:xfrm>
            <a:off x="3061007" y="7089279"/>
            <a:ext cx="160473" cy="163090"/>
          </a:xfrm>
          <a:prstGeom prst="rect">
            <a:avLst/>
          </a:prstGeom>
        </xdr:spPr>
      </xdr:pic>
      <xdr:pic>
        <xdr:nvPicPr>
          <xdr:cNvPr id="49" name="Picture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rcRect/>
          <a:stretch/>
        </xdr:blipFill>
        <xdr:spPr>
          <a:xfrm>
            <a:off x="3061007" y="6235133"/>
            <a:ext cx="158928" cy="161520"/>
          </a:xfrm>
          <a:prstGeom prst="rect">
            <a:avLst/>
          </a:prstGeom>
        </xdr:spPr>
      </xdr:pic>
      <xdr:pic>
        <xdr:nvPicPr>
          <xdr:cNvPr id="50" name="Picture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rcRect/>
          <a:stretch/>
        </xdr:blipFill>
        <xdr:spPr>
          <a:xfrm>
            <a:off x="3061007" y="8158138"/>
            <a:ext cx="158928" cy="161520"/>
          </a:xfrm>
          <a:prstGeom prst="rect">
            <a:avLst/>
          </a:prstGeom>
        </xdr:spPr>
      </xdr:pic>
      <xdr:pic>
        <xdr:nvPicPr>
          <xdr:cNvPr id="57" name="Picture 5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xdr:blipFill>
        <xdr:spPr>
          <a:xfrm>
            <a:off x="3061007" y="5805706"/>
            <a:ext cx="160473" cy="163090"/>
          </a:xfrm>
          <a:prstGeom prst="rect">
            <a:avLst/>
          </a:prstGeom>
        </xdr:spPr>
      </xdr:pic>
      <xdr:pic>
        <xdr:nvPicPr>
          <xdr:cNvPr id="58" name="Picture 57">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rcRect/>
          <a:stretch/>
        </xdr:blipFill>
        <xdr:spPr>
          <a:xfrm>
            <a:off x="3061007" y="6020419"/>
            <a:ext cx="160473" cy="163090"/>
          </a:xfrm>
          <a:prstGeom prst="rect">
            <a:avLst/>
          </a:prstGeom>
        </xdr:spPr>
      </xdr:pic>
      <xdr:pic>
        <xdr:nvPicPr>
          <xdr:cNvPr id="63" name="Picture 6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rcRect/>
          <a:stretch/>
        </xdr:blipFill>
        <xdr:spPr>
          <a:xfrm>
            <a:off x="3061007" y="5377849"/>
            <a:ext cx="160473" cy="163090"/>
          </a:xfrm>
          <a:prstGeom prst="rect">
            <a:avLst/>
          </a:prstGeom>
        </xdr:spPr>
      </xdr:pic>
      <xdr:pic>
        <xdr:nvPicPr>
          <xdr:cNvPr id="66" name="Picture 65">
            <a:extLst>
              <a:ext uri="{FF2B5EF4-FFF2-40B4-BE49-F238E27FC236}">
                <a16:creationId xmlns:a16="http://schemas.microsoft.com/office/drawing/2014/main" id="{00000000-0008-0000-0100-000042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rcRect/>
          <a:stretch/>
        </xdr:blipFill>
        <xdr:spPr>
          <a:xfrm>
            <a:off x="3061580" y="5162665"/>
            <a:ext cx="160363" cy="162979"/>
          </a:xfrm>
          <a:prstGeom prst="rect">
            <a:avLst/>
          </a:prstGeom>
        </xdr:spPr>
      </xdr:pic>
      <xdr:pic>
        <xdr:nvPicPr>
          <xdr:cNvPr id="71" name="Picture 70">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rcRect/>
          <a:stretch/>
        </xdr:blipFill>
        <xdr:spPr>
          <a:xfrm>
            <a:off x="3061007" y="11148370"/>
            <a:ext cx="160473" cy="163090"/>
          </a:xfrm>
          <a:prstGeom prst="rect">
            <a:avLst/>
          </a:prstGeom>
        </xdr:spPr>
      </xdr:pic>
      <xdr:pic>
        <xdr:nvPicPr>
          <xdr:cNvPr id="73" name="Picture 72">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rcRect/>
          <a:stretch/>
        </xdr:blipFill>
        <xdr:spPr>
          <a:xfrm>
            <a:off x="3061007" y="10933657"/>
            <a:ext cx="160473" cy="163090"/>
          </a:xfrm>
          <a:prstGeom prst="rect">
            <a:avLst/>
          </a:prstGeom>
        </xdr:spPr>
      </xdr:pic>
      <xdr:pic>
        <xdr:nvPicPr>
          <xdr:cNvPr id="74" name="Picture 73">
            <a:extLst>
              <a:ext uri="{FF2B5EF4-FFF2-40B4-BE49-F238E27FC236}">
                <a16:creationId xmlns:a16="http://schemas.microsoft.com/office/drawing/2014/main" id="{00000000-0008-0000-0100-00004A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rcRect/>
          <a:stretch/>
        </xdr:blipFill>
        <xdr:spPr>
          <a:xfrm>
            <a:off x="3061007" y="9654794"/>
            <a:ext cx="158928" cy="161520"/>
          </a:xfrm>
          <a:prstGeom prst="rect">
            <a:avLst/>
          </a:prstGeom>
        </xdr:spPr>
      </xdr:pic>
      <xdr:pic>
        <xdr:nvPicPr>
          <xdr:cNvPr id="75" name="Picture 74">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xdr:blipFill>
        <xdr:spPr>
          <a:xfrm>
            <a:off x="3061007" y="9015562"/>
            <a:ext cx="160473" cy="163090"/>
          </a:xfrm>
          <a:prstGeom prst="rect">
            <a:avLst/>
          </a:prstGeom>
        </xdr:spPr>
      </xdr:pic>
      <xdr:pic>
        <xdr:nvPicPr>
          <xdr:cNvPr id="81" name="Picture 80">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rcRect/>
          <a:stretch/>
        </xdr:blipFill>
        <xdr:spPr>
          <a:xfrm>
            <a:off x="3061007" y="10507369"/>
            <a:ext cx="158929" cy="161521"/>
          </a:xfrm>
          <a:prstGeom prst="rect">
            <a:avLst/>
          </a:prstGeom>
        </xdr:spPr>
      </xdr:pic>
      <xdr:pic>
        <xdr:nvPicPr>
          <xdr:cNvPr id="87" name="Picture 86">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rcRect/>
          <a:stretch/>
        </xdr:blipFill>
        <xdr:spPr>
          <a:xfrm>
            <a:off x="3061007" y="10294225"/>
            <a:ext cx="158928" cy="161520"/>
          </a:xfrm>
          <a:prstGeom prst="rect">
            <a:avLst/>
          </a:prstGeom>
        </xdr:spPr>
      </xdr:pic>
      <xdr:pic>
        <xdr:nvPicPr>
          <xdr:cNvPr id="89" name="Picture 88">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rcRect/>
          <a:stretch/>
        </xdr:blipFill>
        <xdr:spPr>
          <a:xfrm>
            <a:off x="3061007" y="11363083"/>
            <a:ext cx="160473" cy="163090"/>
          </a:xfrm>
          <a:prstGeom prst="rect">
            <a:avLst/>
          </a:prstGeom>
        </xdr:spPr>
      </xdr:pic>
      <xdr:pic>
        <xdr:nvPicPr>
          <xdr:cNvPr id="90" name="Picture 89">
            <a:extLst>
              <a:ext uri="{FF2B5EF4-FFF2-40B4-BE49-F238E27FC236}">
                <a16:creationId xmlns:a16="http://schemas.microsoft.com/office/drawing/2014/main" id="{00000000-0008-0000-0100-00005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3061007" y="9867938"/>
            <a:ext cx="158930" cy="161523"/>
          </a:xfrm>
          <a:prstGeom prst="rect">
            <a:avLst/>
          </a:prstGeom>
        </xdr:spPr>
      </xdr:pic>
      <xdr:pic>
        <xdr:nvPicPr>
          <xdr:cNvPr id="91" name="Picture 90">
            <a:extLst>
              <a:ext uri="{FF2B5EF4-FFF2-40B4-BE49-F238E27FC236}">
                <a16:creationId xmlns:a16="http://schemas.microsoft.com/office/drawing/2014/main" id="{00000000-0008-0000-0100-00005B00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rcRect/>
          <a:stretch/>
        </xdr:blipFill>
        <xdr:spPr>
          <a:xfrm>
            <a:off x="3061007" y="10081082"/>
            <a:ext cx="158928" cy="161520"/>
          </a:xfrm>
          <a:prstGeom prst="rect">
            <a:avLst/>
          </a:prstGeom>
        </xdr:spPr>
      </xdr:pic>
      <xdr:pic>
        <xdr:nvPicPr>
          <xdr:cNvPr id="94" name="Picture 93">
            <a:extLst>
              <a:ext uri="{FF2B5EF4-FFF2-40B4-BE49-F238E27FC236}">
                <a16:creationId xmlns:a16="http://schemas.microsoft.com/office/drawing/2014/main" id="{00000000-0008-0000-0100-00005E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rcRect/>
          <a:stretch/>
        </xdr:blipFill>
        <xdr:spPr>
          <a:xfrm>
            <a:off x="3061007" y="8371281"/>
            <a:ext cx="158929" cy="161521"/>
          </a:xfrm>
          <a:prstGeom prst="rect">
            <a:avLst/>
          </a:prstGeom>
        </xdr:spPr>
      </xdr:pic>
      <xdr:pic>
        <xdr:nvPicPr>
          <xdr:cNvPr id="96" name="Picture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a:stretch/>
        </xdr:blipFill>
        <xdr:spPr>
          <a:xfrm>
            <a:off x="3061007" y="8584426"/>
            <a:ext cx="160473" cy="163090"/>
          </a:xfrm>
          <a:prstGeom prst="rect">
            <a:avLst/>
          </a:prstGeom>
        </xdr:spPr>
      </xdr:pic>
      <xdr:pic>
        <xdr:nvPicPr>
          <xdr:cNvPr id="97" name="Picture 96">
            <a:extLst>
              <a:ext uri="{FF2B5EF4-FFF2-40B4-BE49-F238E27FC236}">
                <a16:creationId xmlns:a16="http://schemas.microsoft.com/office/drawing/2014/main" id="{00000000-0008-0000-0100-000061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xdr:blipFill>
        <xdr:spPr>
          <a:xfrm>
            <a:off x="3061007" y="9230276"/>
            <a:ext cx="158929" cy="161521"/>
          </a:xfrm>
          <a:prstGeom prst="rect">
            <a:avLst/>
          </a:prstGeom>
        </xdr:spPr>
      </xdr:pic>
      <xdr:pic>
        <xdr:nvPicPr>
          <xdr:cNvPr id="98" name="Picture 97">
            <a:extLst>
              <a:ext uri="{FF2B5EF4-FFF2-40B4-BE49-F238E27FC236}">
                <a16:creationId xmlns:a16="http://schemas.microsoft.com/office/drawing/2014/main" id="{00000000-0008-0000-0100-000062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xdr:blipFill>
        <xdr:spPr>
          <a:xfrm>
            <a:off x="3061007" y="10720513"/>
            <a:ext cx="158928" cy="161520"/>
          </a:xfrm>
          <a:prstGeom prst="rect">
            <a:avLst/>
          </a:prstGeom>
        </xdr:spPr>
      </xdr:pic>
      <xdr:pic>
        <xdr:nvPicPr>
          <xdr:cNvPr id="140" name="Picture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rcRect t="1482" b="1482"/>
          <a:stretch/>
        </xdr:blipFill>
        <xdr:spPr>
          <a:xfrm>
            <a:off x="3061007" y="4945659"/>
            <a:ext cx="167109" cy="164801"/>
          </a:xfrm>
          <a:prstGeom prst="rect">
            <a:avLst/>
          </a:prstGeom>
        </xdr:spPr>
      </xdr:pic>
      <xdr:pic>
        <xdr:nvPicPr>
          <xdr:cNvPr id="142" name="Picture 141">
            <a:extLst>
              <a:ext uri="{FF2B5EF4-FFF2-40B4-BE49-F238E27FC236}">
                <a16:creationId xmlns:a16="http://schemas.microsoft.com/office/drawing/2014/main" id="{00000000-0008-0000-0100-00008E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rcRect/>
          <a:stretch/>
        </xdr:blipFill>
        <xdr:spPr>
          <a:xfrm>
            <a:off x="3061007" y="7517135"/>
            <a:ext cx="158929" cy="161521"/>
          </a:xfrm>
          <a:prstGeom prst="rect">
            <a:avLst/>
          </a:prstGeom>
        </xdr:spPr>
      </xdr:pic>
      <xdr:pic>
        <xdr:nvPicPr>
          <xdr:cNvPr id="144" name="Picture 143">
            <a:extLst>
              <a:ext uri="{FF2B5EF4-FFF2-40B4-BE49-F238E27FC236}">
                <a16:creationId xmlns:a16="http://schemas.microsoft.com/office/drawing/2014/main" id="{00000000-0008-0000-0100-000090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rcRect t="1482" b="1482"/>
          <a:stretch/>
        </xdr:blipFill>
        <xdr:spPr>
          <a:xfrm>
            <a:off x="3061007" y="8799139"/>
            <a:ext cx="167109" cy="164801"/>
          </a:xfrm>
          <a:prstGeom prst="rect">
            <a:avLst/>
          </a:prstGeom>
        </xdr:spPr>
      </xdr:pic>
      <xdr:pic>
        <xdr:nvPicPr>
          <xdr:cNvPr id="147" name="Picture 146">
            <a:extLst>
              <a:ext uri="{FF2B5EF4-FFF2-40B4-BE49-F238E27FC236}">
                <a16:creationId xmlns:a16="http://schemas.microsoft.com/office/drawing/2014/main" id="{00000000-0008-0000-0100-000093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xdr:blipFill>
        <xdr:spPr>
          <a:xfrm>
            <a:off x="3061571" y="16731469"/>
            <a:ext cx="157813" cy="160387"/>
          </a:xfrm>
          <a:prstGeom prst="rect">
            <a:avLst/>
          </a:prstGeom>
        </xdr:spPr>
      </xdr:pic>
      <xdr:pic>
        <xdr:nvPicPr>
          <xdr:cNvPr id="150" name="Picture 149">
            <a:extLst>
              <a:ext uri="{FF2B5EF4-FFF2-40B4-BE49-F238E27FC236}">
                <a16:creationId xmlns:a16="http://schemas.microsoft.com/office/drawing/2014/main" id="{00000000-0008-0000-0100-000096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rcRect/>
          <a:stretch/>
        </xdr:blipFill>
        <xdr:spPr>
          <a:xfrm>
            <a:off x="3061007" y="9443422"/>
            <a:ext cx="157185" cy="159749"/>
          </a:xfrm>
          <a:prstGeom prst="rect">
            <a:avLst/>
          </a:prstGeom>
        </xdr:spPr>
      </xdr:pic>
      <xdr:pic>
        <xdr:nvPicPr>
          <xdr:cNvPr id="2" name="Picture 1">
            <a:extLst>
              <a:ext uri="{FF2B5EF4-FFF2-40B4-BE49-F238E27FC236}">
                <a16:creationId xmlns:a16="http://schemas.microsoft.com/office/drawing/2014/main" id="{1C91D829-D5B8-CF26-44C3-AC537ECAEA40}"/>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val="0"/>
              </a:ext>
            </a:extLst>
          </a:blip>
          <a:srcRect/>
          <a:stretch/>
        </xdr:blipFill>
        <xdr:spPr>
          <a:xfrm>
            <a:off x="3061007" y="11792511"/>
            <a:ext cx="160471" cy="163089"/>
          </a:xfrm>
          <a:prstGeom prst="rect">
            <a:avLst/>
          </a:prstGeom>
        </xdr:spPr>
      </xdr:pic>
      <xdr:pic>
        <xdr:nvPicPr>
          <xdr:cNvPr id="35" name="Picture 34">
            <a:extLst>
              <a:ext uri="{FF2B5EF4-FFF2-40B4-BE49-F238E27FC236}">
                <a16:creationId xmlns:a16="http://schemas.microsoft.com/office/drawing/2014/main" id="{A91C22A2-96FC-3971-823F-586286A78D5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061007" y="12221938"/>
            <a:ext cx="160471" cy="163089"/>
          </a:xfrm>
          <a:prstGeom prst="rect">
            <a:avLst/>
          </a:prstGeom>
        </xdr:spPr>
      </xdr:pic>
      <xdr:pic>
        <xdr:nvPicPr>
          <xdr:cNvPr id="42" name="Picture 41">
            <a:extLst>
              <a:ext uri="{FF2B5EF4-FFF2-40B4-BE49-F238E27FC236}">
                <a16:creationId xmlns:a16="http://schemas.microsoft.com/office/drawing/2014/main" id="{851B0387-ABB0-D803-D7B2-78C13C7AB45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3061576" y="12651943"/>
            <a:ext cx="159332" cy="161931"/>
          </a:xfrm>
          <a:prstGeom prst="rect">
            <a:avLst/>
          </a:prstGeom>
        </xdr:spPr>
      </xdr:pic>
      <xdr:pic>
        <xdr:nvPicPr>
          <xdr:cNvPr id="56" name="Picture 55">
            <a:extLst>
              <a:ext uri="{FF2B5EF4-FFF2-40B4-BE49-F238E27FC236}">
                <a16:creationId xmlns:a16="http://schemas.microsoft.com/office/drawing/2014/main" id="{8DFDFA3D-C6B8-C3A8-39AE-F304E8C88A51}"/>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rcRect/>
          <a:stretch/>
        </xdr:blipFill>
        <xdr:spPr>
          <a:xfrm>
            <a:off x="3061007" y="13295505"/>
            <a:ext cx="160471" cy="163089"/>
          </a:xfrm>
          <a:prstGeom prst="rect">
            <a:avLst/>
          </a:prstGeom>
        </xdr:spPr>
      </xdr:pic>
      <xdr:pic>
        <xdr:nvPicPr>
          <xdr:cNvPr id="62" name="Picture 61">
            <a:extLst>
              <a:ext uri="{FF2B5EF4-FFF2-40B4-BE49-F238E27FC236}">
                <a16:creationId xmlns:a16="http://schemas.microsoft.com/office/drawing/2014/main" id="{8C775C23-23B5-2F71-6C97-EB428938E874}"/>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xdr:blipFill>
        <xdr:spPr>
          <a:xfrm>
            <a:off x="3061007" y="13724932"/>
            <a:ext cx="160471" cy="163089"/>
          </a:xfrm>
          <a:prstGeom prst="rect">
            <a:avLst/>
          </a:prstGeom>
        </xdr:spPr>
      </xdr:pic>
      <xdr:pic>
        <xdr:nvPicPr>
          <xdr:cNvPr id="67" name="Picture 66">
            <a:extLst>
              <a:ext uri="{FF2B5EF4-FFF2-40B4-BE49-F238E27FC236}">
                <a16:creationId xmlns:a16="http://schemas.microsoft.com/office/drawing/2014/main" id="{4936E267-7F8E-8720-6429-A3365C046D42}"/>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rcRect/>
          <a:stretch/>
        </xdr:blipFill>
        <xdr:spPr>
          <a:xfrm>
            <a:off x="3061007" y="14154359"/>
            <a:ext cx="160471" cy="163089"/>
          </a:xfrm>
          <a:prstGeom prst="rect">
            <a:avLst/>
          </a:prstGeom>
        </xdr:spPr>
      </xdr:pic>
      <xdr:pic>
        <xdr:nvPicPr>
          <xdr:cNvPr id="68" name="Picture 67">
            <a:extLst>
              <a:ext uri="{FF2B5EF4-FFF2-40B4-BE49-F238E27FC236}">
                <a16:creationId xmlns:a16="http://schemas.microsoft.com/office/drawing/2014/main" id="{D8C6C6C9-1EBC-27BF-D4DA-7F7C11111822}"/>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xdr:blipFill>
        <xdr:spPr>
          <a:xfrm>
            <a:off x="3061007" y="14369072"/>
            <a:ext cx="160471" cy="163089"/>
          </a:xfrm>
          <a:prstGeom prst="rect">
            <a:avLst/>
          </a:prstGeom>
        </xdr:spPr>
      </xdr:pic>
      <xdr:pic>
        <xdr:nvPicPr>
          <xdr:cNvPr id="69" name="Picture 68">
            <a:extLst>
              <a:ext uri="{FF2B5EF4-FFF2-40B4-BE49-F238E27FC236}">
                <a16:creationId xmlns:a16="http://schemas.microsoft.com/office/drawing/2014/main" id="{F5C3DE5E-47FE-53B6-3FF5-AC147CAB9DBD}"/>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rcRect/>
          <a:stretch/>
        </xdr:blipFill>
        <xdr:spPr>
          <a:xfrm>
            <a:off x="3061007" y="14583786"/>
            <a:ext cx="160471" cy="163089"/>
          </a:xfrm>
          <a:prstGeom prst="rect">
            <a:avLst/>
          </a:prstGeom>
        </xdr:spPr>
      </xdr:pic>
      <xdr:pic>
        <xdr:nvPicPr>
          <xdr:cNvPr id="95" name="Picture 94">
            <a:extLst>
              <a:ext uri="{FF2B5EF4-FFF2-40B4-BE49-F238E27FC236}">
                <a16:creationId xmlns:a16="http://schemas.microsoft.com/office/drawing/2014/main" id="{11A2D501-A279-E414-3DCB-5FA7E8E7331F}"/>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rcRect/>
          <a:stretch/>
        </xdr:blipFill>
        <xdr:spPr>
          <a:xfrm>
            <a:off x="3061007" y="14798499"/>
            <a:ext cx="160471" cy="163089"/>
          </a:xfrm>
          <a:prstGeom prst="rect">
            <a:avLst/>
          </a:prstGeom>
        </xdr:spPr>
      </xdr:pic>
      <xdr:pic>
        <xdr:nvPicPr>
          <xdr:cNvPr id="100" name="Picture 99">
            <a:extLst>
              <a:ext uri="{FF2B5EF4-FFF2-40B4-BE49-F238E27FC236}">
                <a16:creationId xmlns:a16="http://schemas.microsoft.com/office/drawing/2014/main" id="{35D06E69-1201-8DC2-F95B-6AE7F85778EA}"/>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rcRect/>
          <a:stretch/>
        </xdr:blipFill>
        <xdr:spPr>
          <a:xfrm>
            <a:off x="3061007" y="15013212"/>
            <a:ext cx="160471" cy="163089"/>
          </a:xfrm>
          <a:prstGeom prst="rect">
            <a:avLst/>
          </a:prstGeom>
        </xdr:spPr>
      </xdr:pic>
      <xdr:pic>
        <xdr:nvPicPr>
          <xdr:cNvPr id="101" name="Picture 100">
            <a:extLst>
              <a:ext uri="{FF2B5EF4-FFF2-40B4-BE49-F238E27FC236}">
                <a16:creationId xmlns:a16="http://schemas.microsoft.com/office/drawing/2014/main" id="{F0ECF11C-9482-6FD4-B8BA-CA13F360DF71}"/>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rcRect/>
          <a:stretch/>
        </xdr:blipFill>
        <xdr:spPr>
          <a:xfrm>
            <a:off x="3061007" y="15227926"/>
            <a:ext cx="160471" cy="163089"/>
          </a:xfrm>
          <a:prstGeom prst="rect">
            <a:avLst/>
          </a:prstGeom>
        </xdr:spPr>
      </xdr:pic>
      <xdr:pic>
        <xdr:nvPicPr>
          <xdr:cNvPr id="102" name="Picture 101">
            <a:extLst>
              <a:ext uri="{FF2B5EF4-FFF2-40B4-BE49-F238E27FC236}">
                <a16:creationId xmlns:a16="http://schemas.microsoft.com/office/drawing/2014/main" id="{2E714583-8DAA-223D-675C-A7AB56683AC5}"/>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rcRect/>
          <a:stretch/>
        </xdr:blipFill>
        <xdr:spPr>
          <a:xfrm>
            <a:off x="3061007" y="15442639"/>
            <a:ext cx="160471" cy="163089"/>
          </a:xfrm>
          <a:prstGeom prst="rect">
            <a:avLst/>
          </a:prstGeom>
        </xdr:spPr>
      </xdr:pic>
      <xdr:pic>
        <xdr:nvPicPr>
          <xdr:cNvPr id="103" name="Picture 102">
            <a:extLst>
              <a:ext uri="{FF2B5EF4-FFF2-40B4-BE49-F238E27FC236}">
                <a16:creationId xmlns:a16="http://schemas.microsoft.com/office/drawing/2014/main" id="{15255B17-E4EB-F1DE-9328-733B2A9E9C3E}"/>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rcRect/>
          <a:stretch/>
        </xdr:blipFill>
        <xdr:spPr>
          <a:xfrm>
            <a:off x="3061007" y="15657353"/>
            <a:ext cx="160471" cy="163089"/>
          </a:xfrm>
          <a:prstGeom prst="rect">
            <a:avLst/>
          </a:prstGeom>
        </xdr:spPr>
      </xdr:pic>
      <xdr:pic>
        <xdr:nvPicPr>
          <xdr:cNvPr id="104" name="Picture 103">
            <a:extLst>
              <a:ext uri="{FF2B5EF4-FFF2-40B4-BE49-F238E27FC236}">
                <a16:creationId xmlns:a16="http://schemas.microsoft.com/office/drawing/2014/main" id="{3671DE27-A8A5-9061-EEB3-535E3700BD3C}"/>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a:off x="3061007" y="15872066"/>
            <a:ext cx="160471" cy="163089"/>
          </a:xfrm>
          <a:prstGeom prst="rect">
            <a:avLst/>
          </a:prstGeom>
        </xdr:spPr>
      </xdr:pic>
      <xdr:pic>
        <xdr:nvPicPr>
          <xdr:cNvPr id="105" name="Picture 104">
            <a:extLst>
              <a:ext uri="{FF2B5EF4-FFF2-40B4-BE49-F238E27FC236}">
                <a16:creationId xmlns:a16="http://schemas.microsoft.com/office/drawing/2014/main" id="{8C1E7A1F-BB89-9F34-2A33-3A2FC6E514CA}"/>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xdr:blipFill>
        <xdr:spPr>
          <a:xfrm>
            <a:off x="3061007" y="16086779"/>
            <a:ext cx="160471" cy="163089"/>
          </a:xfrm>
          <a:prstGeom prst="rect">
            <a:avLst/>
          </a:prstGeom>
        </xdr:spPr>
      </xdr:pic>
      <xdr:pic>
        <xdr:nvPicPr>
          <xdr:cNvPr id="106" name="Picture 105">
            <a:extLst>
              <a:ext uri="{FF2B5EF4-FFF2-40B4-BE49-F238E27FC236}">
                <a16:creationId xmlns:a16="http://schemas.microsoft.com/office/drawing/2014/main" id="{F860156E-B0CD-7261-901F-4D593EEBD453}"/>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rcRect/>
          <a:stretch/>
        </xdr:blipFill>
        <xdr:spPr>
          <a:xfrm>
            <a:off x="3061007" y="16301493"/>
            <a:ext cx="160471" cy="163089"/>
          </a:xfrm>
          <a:prstGeom prst="rect">
            <a:avLst/>
          </a:prstGeom>
        </xdr:spPr>
      </xdr:pic>
      <xdr:pic>
        <xdr:nvPicPr>
          <xdr:cNvPr id="217" name="Picture 216">
            <a:extLst>
              <a:ext uri="{FF2B5EF4-FFF2-40B4-BE49-F238E27FC236}">
                <a16:creationId xmlns:a16="http://schemas.microsoft.com/office/drawing/2014/main" id="{ABF3D0CD-C07C-18B8-4FE0-EA6D4E5CBD68}"/>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rcRect/>
          <a:stretch/>
        </xdr:blipFill>
        <xdr:spPr>
          <a:xfrm>
            <a:off x="3061007" y="16516206"/>
            <a:ext cx="160471" cy="163089"/>
          </a:xfrm>
          <a:prstGeom prst="rect">
            <a:avLst/>
          </a:prstGeom>
        </xdr:spPr>
      </xdr:pic>
      <xdr:pic>
        <xdr:nvPicPr>
          <xdr:cNvPr id="221" name="Picture 220">
            <a:extLst>
              <a:ext uri="{FF2B5EF4-FFF2-40B4-BE49-F238E27FC236}">
                <a16:creationId xmlns:a16="http://schemas.microsoft.com/office/drawing/2014/main" id="{43E9110C-E21B-493E-C3DD-B6D4C449EF14}"/>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rcRect/>
          <a:stretch/>
        </xdr:blipFill>
        <xdr:spPr>
          <a:xfrm>
            <a:off x="3061007" y="11577797"/>
            <a:ext cx="160473" cy="163090"/>
          </a:xfrm>
          <a:prstGeom prst="rect">
            <a:avLst/>
          </a:prstGeom>
        </xdr:spPr>
      </xdr:pic>
      <xdr:pic>
        <xdr:nvPicPr>
          <xdr:cNvPr id="222" name="Picture 221">
            <a:extLst>
              <a:ext uri="{FF2B5EF4-FFF2-40B4-BE49-F238E27FC236}">
                <a16:creationId xmlns:a16="http://schemas.microsoft.com/office/drawing/2014/main" id="{FF893EF5-AB42-1082-A8F9-1C3D1EF33148}"/>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rcRect/>
          <a:stretch/>
        </xdr:blipFill>
        <xdr:spPr>
          <a:xfrm>
            <a:off x="3061007" y="12007224"/>
            <a:ext cx="160473" cy="163090"/>
          </a:xfrm>
          <a:prstGeom prst="rect">
            <a:avLst/>
          </a:prstGeom>
        </xdr:spPr>
      </xdr:pic>
      <xdr:pic>
        <xdr:nvPicPr>
          <xdr:cNvPr id="223" name="Picture 222">
            <a:extLst>
              <a:ext uri="{FF2B5EF4-FFF2-40B4-BE49-F238E27FC236}">
                <a16:creationId xmlns:a16="http://schemas.microsoft.com/office/drawing/2014/main" id="{97C13ACC-5016-6288-025A-67750D41C482}"/>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xdr:blipFill>
        <xdr:spPr>
          <a:xfrm>
            <a:off x="3061576" y="12437230"/>
            <a:ext cx="159333" cy="161932"/>
          </a:xfrm>
          <a:prstGeom prst="rect">
            <a:avLst/>
          </a:prstGeom>
        </xdr:spPr>
      </xdr:pic>
      <xdr:pic>
        <xdr:nvPicPr>
          <xdr:cNvPr id="224" name="Picture 223">
            <a:extLst>
              <a:ext uri="{FF2B5EF4-FFF2-40B4-BE49-F238E27FC236}">
                <a16:creationId xmlns:a16="http://schemas.microsoft.com/office/drawing/2014/main" id="{9EEB8CDF-1963-6EA2-35D1-37A1D8D0ADA1}"/>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xdr:blipFill>
        <xdr:spPr>
          <a:xfrm>
            <a:off x="3061007" y="12866077"/>
            <a:ext cx="160473" cy="163090"/>
          </a:xfrm>
          <a:prstGeom prst="rect">
            <a:avLst/>
          </a:prstGeom>
        </xdr:spPr>
      </xdr:pic>
      <xdr:pic>
        <xdr:nvPicPr>
          <xdr:cNvPr id="225" name="Picture 224">
            <a:extLst>
              <a:ext uri="{FF2B5EF4-FFF2-40B4-BE49-F238E27FC236}">
                <a16:creationId xmlns:a16="http://schemas.microsoft.com/office/drawing/2014/main" id="{223DBB7D-1723-8715-8644-407D2DEA2B29}"/>
              </a:ext>
            </a:extLst>
          </xdr:cNvPr>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a:stretch/>
        </xdr:blipFill>
        <xdr:spPr>
          <a:xfrm>
            <a:off x="3061007" y="13080791"/>
            <a:ext cx="160473" cy="163090"/>
          </a:xfrm>
          <a:prstGeom prst="rect">
            <a:avLst/>
          </a:prstGeom>
        </xdr:spPr>
      </xdr:pic>
      <xdr:pic>
        <xdr:nvPicPr>
          <xdr:cNvPr id="226" name="Picture 225">
            <a:extLst>
              <a:ext uri="{FF2B5EF4-FFF2-40B4-BE49-F238E27FC236}">
                <a16:creationId xmlns:a16="http://schemas.microsoft.com/office/drawing/2014/main" id="{C8970DBF-5926-CD85-3516-CD04867F2E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061007" y="13510217"/>
            <a:ext cx="160473" cy="163090"/>
          </a:xfrm>
          <a:prstGeom prst="rect">
            <a:avLst/>
          </a:prstGeom>
        </xdr:spPr>
      </xdr:pic>
      <xdr:pic>
        <xdr:nvPicPr>
          <xdr:cNvPr id="227" name="Picture 226">
            <a:extLst>
              <a:ext uri="{FF2B5EF4-FFF2-40B4-BE49-F238E27FC236}">
                <a16:creationId xmlns:a16="http://schemas.microsoft.com/office/drawing/2014/main" id="{9A179D5E-53F2-8B81-CDE4-78EB67F5A431}"/>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a:xfrm>
            <a:off x="3061576" y="13940225"/>
            <a:ext cx="159333" cy="161932"/>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88900</xdr:colOff>
      <xdr:row>2</xdr:row>
      <xdr:rowOff>25400</xdr:rowOff>
    </xdr:from>
    <xdr:to>
      <xdr:col>17</xdr:col>
      <xdr:colOff>228600</xdr:colOff>
      <xdr:row>78</xdr:row>
      <xdr:rowOff>25400</xdr:rowOff>
    </xdr:to>
    <xdr:sp macro="" textlink="">
      <xdr:nvSpPr>
        <xdr:cNvPr id="2" name="TextBox 1">
          <a:extLst>
            <a:ext uri="{FF2B5EF4-FFF2-40B4-BE49-F238E27FC236}">
              <a16:creationId xmlns:a16="http://schemas.microsoft.com/office/drawing/2014/main" id="{00000000-0008-0000-0400-000002000000}"/>
            </a:ext>
          </a:extLst>
        </xdr:cNvPr>
        <xdr:cNvSpPr txBox="1"/>
      </xdr:nvSpPr>
      <xdr:spPr>
        <a:xfrm>
          <a:off x="203200" y="546100"/>
          <a:ext cx="9893300" cy="120713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800" b="1">
              <a:solidFill>
                <a:schemeClr val="dk1"/>
              </a:solidFill>
              <a:effectLst/>
              <a:latin typeface="+mn-lt"/>
              <a:ea typeface="+mn-ea"/>
              <a:cs typeface="+mn-cs"/>
            </a:rPr>
            <a:t>SINGLE-USER LICENSE AGREEMENT FOR JOURNALSHEET.COM SPREADSHEET </a:t>
          </a:r>
          <a:endParaRPr lang="en-US" sz="1800">
            <a:effectLst/>
          </a:endParaRPr>
        </a:p>
        <a:p>
          <a:br>
            <a:rPr lang="en-US" sz="1800" b="1">
              <a:solidFill>
                <a:schemeClr val="dk1"/>
              </a:solidFill>
              <a:effectLst/>
              <a:latin typeface="+mn-lt"/>
              <a:ea typeface="+mn-ea"/>
              <a:cs typeface="+mn-cs"/>
            </a:rPr>
          </a:br>
          <a:r>
            <a:rPr lang="en-US" sz="1800" b="1">
              <a:solidFill>
                <a:schemeClr val="dk1"/>
              </a:solidFill>
              <a:effectLst/>
              <a:latin typeface="+mn-lt"/>
              <a:ea typeface="+mn-ea"/>
              <a:cs typeface="+mn-cs"/>
            </a:rPr>
            <a:t>IMPORTANT </a:t>
          </a:r>
          <a:endParaRPr lang="en-US" sz="1800">
            <a:effectLst/>
          </a:endParaRPr>
        </a:p>
        <a:p>
          <a:br>
            <a:rPr lang="en-US" sz="1400" b="1">
              <a:solidFill>
                <a:schemeClr val="dk1"/>
              </a:solidFill>
              <a:effectLst/>
              <a:latin typeface="+mn-lt"/>
              <a:ea typeface="+mn-ea"/>
              <a:cs typeface="+mn-cs"/>
            </a:rPr>
          </a:br>
          <a:r>
            <a:rPr lang="en-US" sz="1400" b="1">
              <a:solidFill>
                <a:schemeClr val="dk1"/>
              </a:solidFill>
              <a:effectLst/>
              <a:latin typeface="+mn-lt"/>
              <a:ea typeface="+mn-ea"/>
              <a:cs typeface="+mn-cs"/>
            </a:rPr>
            <a:t>PLEASE READ THE TERMS AND CONDITIONS OF THIS LICENSE AGREEMENT CAREFULLY BEFORE USING THIS SOFTWARE</a:t>
          </a:r>
          <a:endParaRPr lang="en-US" sz="1400">
            <a:effectLst/>
          </a:endParaRPr>
        </a:p>
        <a:p>
          <a:r>
            <a:rPr lang="en-US" sz="1100">
              <a:solidFill>
                <a:schemeClr val="dk1"/>
              </a:solidFill>
              <a:effectLst/>
              <a:latin typeface="+mn-lt"/>
              <a:ea typeface="+mn-ea"/>
              <a:cs typeface="+mn-cs"/>
            </a:rPr>
            <a:t>This is a legal agreement between you (either an individual or a single entity) and JOURNALSHEET.COM for the JOURNALSHEET.COM SPREADSHEET identified above which may include associated software components, media, printed materials, and "online" or electronic documentation ("JOURNALSHEET.COM SPREADSHEET "). By installing, copying, or otherwise using the JOURNALSHEET.COM SPREADSHEET, you agree to be bound by the terms of this agreement. This license agreement represents the entire agreement concerning the program between you and JOURNALSHEET.COM, (referred to as "licenser"), and it supersedes any prior proposal, representation, or understanding between the parties. If you do not agree to the terms of this agreement, do not install or use the JOURNALSHEET.COM SPREADSHEET.</a:t>
          </a:r>
          <a:endParaRPr lang="en-US">
            <a:effectLst/>
          </a:endParaRPr>
        </a:p>
        <a:p>
          <a:r>
            <a:rPr lang="en-US" sz="1100">
              <a:solidFill>
                <a:schemeClr val="dk1"/>
              </a:solidFill>
              <a:effectLst/>
              <a:latin typeface="+mn-lt"/>
              <a:ea typeface="+mn-ea"/>
              <a:cs typeface="+mn-cs"/>
            </a:rPr>
            <a:t>The JOURNALSHEET.COM SPREADSHEET is protected by copyright laws and international copyright treaties, as well as other intellectual property laws and treaties. The JOURNALSHEET.COM SPREADSHEET is licensed, not sold.</a:t>
          </a:r>
        </a:p>
        <a:p>
          <a:endParaRPr lang="en-US">
            <a:effectLst/>
          </a:endParaRPr>
        </a:p>
        <a:p>
          <a:r>
            <a:rPr lang="en-US" sz="1100" b="1">
              <a:solidFill>
                <a:schemeClr val="dk1"/>
              </a:solidFill>
              <a:effectLst/>
              <a:latin typeface="+mn-lt"/>
              <a:ea typeface="+mn-ea"/>
              <a:cs typeface="+mn-cs"/>
            </a:rPr>
            <a:t>1. GRANT OF LICENSE TO MULTI-USER.</a:t>
          </a:r>
          <a:endParaRPr lang="en-US">
            <a:effectLst/>
          </a:endParaRPr>
        </a:p>
        <a:p>
          <a:r>
            <a:rPr lang="en-US" sz="1100">
              <a:solidFill>
                <a:schemeClr val="dk1"/>
              </a:solidFill>
              <a:effectLst/>
              <a:latin typeface="+mn-lt"/>
              <a:ea typeface="+mn-ea"/>
              <a:cs typeface="+mn-cs"/>
            </a:rPr>
            <a:t>The JOURNALSHEET.COM SPREADSHEET is licensed as follows:</a:t>
          </a:r>
          <a:endParaRPr lang="en-US">
            <a:effectLst/>
          </a:endParaRPr>
        </a:p>
        <a:p>
          <a:r>
            <a:rPr lang="en-US" sz="1100">
              <a:solidFill>
                <a:schemeClr val="dk1"/>
              </a:solidFill>
              <a:effectLst/>
              <a:latin typeface="+mn-lt"/>
              <a:ea typeface="+mn-ea"/>
              <a:cs typeface="+mn-cs"/>
            </a:rPr>
            <a:t>(a) Installation and Use.</a:t>
          </a:r>
          <a:endParaRPr lang="en-US">
            <a:effectLst/>
          </a:endParaRPr>
        </a:p>
        <a:p>
          <a:r>
            <a:rPr lang="en-US" sz="1100">
              <a:solidFill>
                <a:schemeClr val="dk1"/>
              </a:solidFill>
              <a:effectLst/>
              <a:latin typeface="+mn-lt"/>
              <a:ea typeface="+mn-ea"/>
              <a:cs typeface="+mn-cs"/>
            </a:rPr>
            <a:t>JOURNALSHEET.COM grants you the right to install and use copies of the JOURNALSHEET.COM SPREADSHEET on computers within one particular specified location or on a network at a single site (e.g. office) and your running validly licensed copies of the office suite [Microsoft Excel 2007</a:t>
          </a:r>
          <a:r>
            <a:rPr lang="en-US" sz="1100" baseline="0">
              <a:solidFill>
                <a:schemeClr val="dk1"/>
              </a:solidFill>
              <a:effectLst/>
              <a:latin typeface="+mn-lt"/>
              <a:ea typeface="+mn-ea"/>
              <a:cs typeface="+mn-cs"/>
            </a:rPr>
            <a:t> - 2019</a:t>
          </a:r>
          <a:r>
            <a:rPr lang="en-US" sz="1100">
              <a:solidFill>
                <a:schemeClr val="dk1"/>
              </a:solidFill>
              <a:effectLst/>
              <a:latin typeface="+mn-lt"/>
              <a:ea typeface="+mn-ea"/>
              <a:cs typeface="+mn-cs"/>
            </a:rPr>
            <a:t>) and Windows Operating System</a:t>
          </a: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[Windows NT, Windows 2003, Windows XP, Windows Vista, Windows 7, Windows 8, Windows 10 ] and</a:t>
          </a:r>
          <a:r>
            <a:rPr lang="en-US" sz="1100" baseline="0">
              <a:solidFill>
                <a:schemeClr val="dk1"/>
              </a:solidFill>
              <a:effectLst/>
              <a:latin typeface="+mn-lt"/>
              <a:ea typeface="+mn-ea"/>
              <a:cs typeface="+mn-cs"/>
            </a:rPr>
            <a:t> Mac Operating System </a:t>
          </a:r>
          <a:r>
            <a:rPr lang="en-US" sz="1100">
              <a:solidFill>
                <a:schemeClr val="dk1"/>
              </a:solidFill>
              <a:effectLst/>
              <a:latin typeface="+mn-lt"/>
              <a:ea typeface="+mn-ea"/>
              <a:cs typeface="+mn-cs"/>
            </a:rPr>
            <a:t>for which the JOURNALSHEET.COM SPREADSHEET was designed.</a:t>
          </a:r>
          <a:endParaRPr lang="en-US">
            <a:effectLst/>
          </a:endParaRPr>
        </a:p>
        <a:p>
          <a:r>
            <a:rPr lang="en-US" sz="1100">
              <a:solidFill>
                <a:schemeClr val="dk1"/>
              </a:solidFill>
              <a:effectLst/>
              <a:latin typeface="+mn-lt"/>
              <a:ea typeface="+mn-ea"/>
              <a:cs typeface="+mn-cs"/>
            </a:rPr>
            <a:t>(b) Backup Copies.</a:t>
          </a:r>
          <a:endParaRPr lang="en-US">
            <a:effectLst/>
          </a:endParaRPr>
        </a:p>
        <a:p>
          <a:r>
            <a:rPr lang="en-US" sz="1100">
              <a:solidFill>
                <a:schemeClr val="dk1"/>
              </a:solidFill>
              <a:effectLst/>
              <a:latin typeface="+mn-lt"/>
              <a:ea typeface="+mn-ea"/>
              <a:cs typeface="+mn-cs"/>
            </a:rPr>
            <a:t>You may also make copies of the JOURNALSHEET.COM SPREADSHEET as may be necessary for backup and archival purposes.</a:t>
          </a:r>
        </a:p>
        <a:p>
          <a:endParaRPr lang="en-US">
            <a:effectLst/>
          </a:endParaRPr>
        </a:p>
        <a:p>
          <a:r>
            <a:rPr lang="en-US" sz="1100" b="1">
              <a:solidFill>
                <a:schemeClr val="dk1"/>
              </a:solidFill>
              <a:effectLst/>
              <a:latin typeface="+mn-lt"/>
              <a:ea typeface="+mn-ea"/>
              <a:cs typeface="+mn-cs"/>
            </a:rPr>
            <a:t>2. DESCRIPTION OF OTHER RIGHTS AND LIMITATIONS.</a:t>
          </a:r>
          <a:endParaRPr lang="en-US">
            <a:effectLst/>
          </a:endParaRPr>
        </a:p>
        <a:p>
          <a:r>
            <a:rPr lang="en-US" sz="1100">
              <a:solidFill>
                <a:schemeClr val="dk1"/>
              </a:solidFill>
              <a:effectLst/>
              <a:latin typeface="+mn-lt"/>
              <a:ea typeface="+mn-ea"/>
              <a:cs typeface="+mn-cs"/>
            </a:rPr>
            <a:t>(a) Maintenance of Copyright Notices.</a:t>
          </a:r>
          <a:endParaRPr lang="en-US">
            <a:effectLst/>
          </a:endParaRPr>
        </a:p>
        <a:p>
          <a:r>
            <a:rPr lang="en-US" sz="1100">
              <a:solidFill>
                <a:schemeClr val="dk1"/>
              </a:solidFill>
              <a:effectLst/>
              <a:latin typeface="+mn-lt"/>
              <a:ea typeface="+mn-ea"/>
              <a:cs typeface="+mn-cs"/>
            </a:rPr>
            <a:t>You must not remove or alter any copyright notices on any and all copies of the JOURNALSHEET.COM SPREADSHEET.</a:t>
          </a:r>
          <a:endParaRPr lang="en-US">
            <a:effectLst/>
          </a:endParaRPr>
        </a:p>
        <a:p>
          <a:r>
            <a:rPr lang="en-US" sz="1100">
              <a:solidFill>
                <a:schemeClr val="dk1"/>
              </a:solidFill>
              <a:effectLst/>
              <a:latin typeface="+mn-lt"/>
              <a:ea typeface="+mn-ea"/>
              <a:cs typeface="+mn-cs"/>
            </a:rPr>
            <a:t>(b) Distribution.</a:t>
          </a:r>
          <a:endParaRPr lang="en-US">
            <a:effectLst/>
          </a:endParaRPr>
        </a:p>
        <a:p>
          <a:r>
            <a:rPr lang="en-US" sz="1100">
              <a:solidFill>
                <a:schemeClr val="dk1"/>
              </a:solidFill>
              <a:effectLst/>
              <a:latin typeface="+mn-lt"/>
              <a:ea typeface="+mn-ea"/>
              <a:cs typeface="+mn-cs"/>
            </a:rPr>
            <a:t>You may not distribute registered copies of the JOURNALSHEET.COM SPREADSHEET to third parties. Evaluation versions available for download from JOURNALSHEET.COM's websites may be freely distributed.</a:t>
          </a:r>
          <a:endParaRPr lang="en-US">
            <a:effectLst/>
          </a:endParaRPr>
        </a:p>
        <a:p>
          <a:r>
            <a:rPr lang="en-US" sz="1100">
              <a:solidFill>
                <a:schemeClr val="dk1"/>
              </a:solidFill>
              <a:effectLst/>
              <a:latin typeface="+mn-lt"/>
              <a:ea typeface="+mn-ea"/>
              <a:cs typeface="+mn-cs"/>
            </a:rPr>
            <a:t>(c) Prohibition on Reverse Engineering, Decompilation, and Disassembly.</a:t>
          </a:r>
          <a:endParaRPr lang="en-US">
            <a:effectLst/>
          </a:endParaRPr>
        </a:p>
        <a:p>
          <a:r>
            <a:rPr lang="en-US" sz="1100">
              <a:solidFill>
                <a:schemeClr val="dk1"/>
              </a:solidFill>
              <a:effectLst/>
              <a:latin typeface="+mn-lt"/>
              <a:ea typeface="+mn-ea"/>
              <a:cs typeface="+mn-cs"/>
            </a:rPr>
            <a:t>You may not reverse engineer, decompile, or disassemble the JOURNALSHEET.COM SPREADSHEET, except and only to the extent that such activity is expressly permitted by applicable law notwithstanding this limitation.</a:t>
          </a:r>
          <a:endParaRPr lang="en-US">
            <a:effectLst/>
          </a:endParaRPr>
        </a:p>
        <a:p>
          <a:r>
            <a:rPr lang="en-US" sz="1100">
              <a:solidFill>
                <a:schemeClr val="dk1"/>
              </a:solidFill>
              <a:effectLst/>
              <a:latin typeface="+mn-lt"/>
              <a:ea typeface="+mn-ea"/>
              <a:cs typeface="+mn-cs"/>
            </a:rPr>
            <a:t>(d) Rental.</a:t>
          </a:r>
          <a:endParaRPr lang="en-US">
            <a:effectLst/>
          </a:endParaRPr>
        </a:p>
        <a:p>
          <a:r>
            <a:rPr lang="en-US" sz="1100">
              <a:solidFill>
                <a:schemeClr val="dk1"/>
              </a:solidFill>
              <a:effectLst/>
              <a:latin typeface="+mn-lt"/>
              <a:ea typeface="+mn-ea"/>
              <a:cs typeface="+mn-cs"/>
            </a:rPr>
            <a:t>You may not rent, lease, or lend the JOURNALSHEET.COM SPREADSHEET.</a:t>
          </a:r>
          <a:endParaRPr lang="en-US">
            <a:effectLst/>
          </a:endParaRPr>
        </a:p>
        <a:p>
          <a:r>
            <a:rPr lang="en-US" sz="1100">
              <a:solidFill>
                <a:schemeClr val="dk1"/>
              </a:solidFill>
              <a:effectLst/>
              <a:latin typeface="+mn-lt"/>
              <a:ea typeface="+mn-ea"/>
              <a:cs typeface="+mn-cs"/>
            </a:rPr>
            <a:t>(e) Support Services.</a:t>
          </a:r>
          <a:endParaRPr lang="en-US">
            <a:effectLst/>
          </a:endParaRPr>
        </a:p>
        <a:p>
          <a:r>
            <a:rPr lang="en-US" sz="1100">
              <a:solidFill>
                <a:schemeClr val="dk1"/>
              </a:solidFill>
              <a:effectLst/>
              <a:latin typeface="+mn-lt"/>
              <a:ea typeface="+mn-ea"/>
              <a:cs typeface="+mn-cs"/>
            </a:rPr>
            <a:t>JOURNALSHEET.COM may provide you with support services related to the JOURNALSHEET.COM SPREADSHEET ("Support Services"). Any supplemental software code provided to you as part of the Support Services shall be considered part of the JOURNALSHEET.COM SPREADSHEET and subject to the terms and conditions of this agreement.</a:t>
          </a:r>
          <a:endParaRPr lang="en-US">
            <a:effectLst/>
          </a:endParaRPr>
        </a:p>
        <a:p>
          <a:r>
            <a:rPr lang="en-US" sz="1100">
              <a:solidFill>
                <a:schemeClr val="dk1"/>
              </a:solidFill>
              <a:effectLst/>
              <a:latin typeface="+mn-lt"/>
              <a:ea typeface="+mn-ea"/>
              <a:cs typeface="+mn-cs"/>
            </a:rPr>
            <a:t>(f) Compliance with Applicable Laws.</a:t>
          </a:r>
          <a:endParaRPr lang="en-US">
            <a:effectLst/>
          </a:endParaRPr>
        </a:p>
        <a:p>
          <a:r>
            <a:rPr lang="en-US" sz="1100">
              <a:solidFill>
                <a:schemeClr val="dk1"/>
              </a:solidFill>
              <a:effectLst/>
              <a:latin typeface="+mn-lt"/>
              <a:ea typeface="+mn-ea"/>
              <a:cs typeface="+mn-cs"/>
            </a:rPr>
            <a:t>You must comply with all applicable laws regarding use of the JOURNALSHEET.COM SPREADSHEET.</a:t>
          </a:r>
        </a:p>
        <a:p>
          <a:endParaRPr lang="en-US">
            <a:effectLst/>
          </a:endParaRPr>
        </a:p>
        <a:p>
          <a:r>
            <a:rPr lang="en-US" sz="1100" b="1">
              <a:solidFill>
                <a:schemeClr val="dk1"/>
              </a:solidFill>
              <a:effectLst/>
              <a:latin typeface="+mn-lt"/>
              <a:ea typeface="+mn-ea"/>
              <a:cs typeface="+mn-cs"/>
            </a:rPr>
            <a:t>3. TERMINATION</a:t>
          </a:r>
          <a:endParaRPr lang="en-US">
            <a:effectLst/>
          </a:endParaRPr>
        </a:p>
        <a:p>
          <a:r>
            <a:rPr lang="en-US" sz="1100">
              <a:solidFill>
                <a:schemeClr val="dk1"/>
              </a:solidFill>
              <a:effectLst/>
              <a:latin typeface="+mn-lt"/>
              <a:ea typeface="+mn-ea"/>
              <a:cs typeface="+mn-cs"/>
            </a:rPr>
            <a:t>Without prejudice to any other rights, JOURNALSHEET.COM may terminate this agreement if you fail to comply with the terms and conditions of this agreement. In such event, you must destroy all copies of the JOURNALSHEET.COM SPREADSHEET in your possession.</a:t>
          </a:r>
        </a:p>
        <a:p>
          <a:endParaRPr lang="en-US">
            <a:effectLst/>
          </a:endParaRPr>
        </a:p>
        <a:p>
          <a:r>
            <a:rPr lang="en-US" sz="1100" b="1">
              <a:solidFill>
                <a:schemeClr val="dk1"/>
              </a:solidFill>
              <a:effectLst/>
              <a:latin typeface="+mn-lt"/>
              <a:ea typeface="+mn-ea"/>
              <a:cs typeface="+mn-cs"/>
            </a:rPr>
            <a:t>4. COPYRIGHT</a:t>
          </a:r>
          <a:endParaRPr lang="en-US">
            <a:effectLst/>
          </a:endParaRPr>
        </a:p>
        <a:p>
          <a:r>
            <a:rPr lang="en-US" sz="1100">
              <a:solidFill>
                <a:schemeClr val="dk1"/>
              </a:solidFill>
              <a:effectLst/>
              <a:latin typeface="+mn-lt"/>
              <a:ea typeface="+mn-ea"/>
              <a:cs typeface="+mn-cs"/>
            </a:rPr>
            <a:t>All title, including but not limited to copyrights, in and to the JOURNALSHEET.COM SPREADSHEET and any copies thereof are owned by JOURNALSHEET.COM or its suppliers. All title and intellectual property rights in and to the content which may be accessed through use of the JOURNALSHEET.COM SPREADSHEET is the property of the respective content owner and may be protected by applicable copyright or other intellectual property laws and treaties. This agreement grants you no rights to use such content. All rights not expressly granted are reserved by JOURNALSHEET.COM.</a:t>
          </a:r>
        </a:p>
        <a:p>
          <a:endParaRPr lang="en-US">
            <a:effectLst/>
          </a:endParaRPr>
        </a:p>
        <a:p>
          <a:r>
            <a:rPr lang="en-US" sz="1100" b="1">
              <a:solidFill>
                <a:schemeClr val="dk1"/>
              </a:solidFill>
              <a:effectLst/>
              <a:latin typeface="+mn-lt"/>
              <a:ea typeface="+mn-ea"/>
              <a:cs typeface="+mn-cs"/>
            </a:rPr>
            <a:t>5. NO WARRANTIES</a:t>
          </a:r>
          <a:endParaRPr lang="en-US">
            <a:effectLst/>
          </a:endParaRPr>
        </a:p>
        <a:p>
          <a:r>
            <a:rPr lang="en-US" sz="1100">
              <a:solidFill>
                <a:schemeClr val="dk1"/>
              </a:solidFill>
              <a:effectLst/>
              <a:latin typeface="+mn-lt"/>
              <a:ea typeface="+mn-ea"/>
              <a:cs typeface="+mn-cs"/>
            </a:rPr>
            <a:t>JOURNALSHEET.COM expressly disclaims any warranty for the JOURNALSHEET.COM SPREADSHEET. The JOURNALSHEET.COM SPREADSHEET is provided 'As Is' without any express or implied warranty of any kind, including but not limited to any warranties of merchantability, noninfringement, or fitness of a particular purpose. JOURNALSHEET.COM does not warrant or assume responsibility for the accuracy or completeness of any information, text, graphics, links or other items contained within the JOURNALSHEET.COM SPREADSHEET. JOURNALSHEET.COM makes no warranties respecting any harm that may be caused by the transmission of a computer virus, worm, time bomb, logic bomb, or other such computer program. JOURNALSHEET.COM further expressly disclaims any warranty or representation to Authorized Users or to any third party.</a:t>
          </a:r>
        </a:p>
        <a:p>
          <a:endParaRPr lang="en-US">
            <a:effectLst/>
          </a:endParaRPr>
        </a:p>
        <a:p>
          <a:r>
            <a:rPr lang="en-US" sz="1100" b="1">
              <a:solidFill>
                <a:schemeClr val="dk1"/>
              </a:solidFill>
              <a:effectLst/>
              <a:latin typeface="+mn-lt"/>
              <a:ea typeface="+mn-ea"/>
              <a:cs typeface="+mn-cs"/>
            </a:rPr>
            <a:t>6. LIMITATION OF LIABILITY</a:t>
          </a:r>
          <a:endParaRPr lang="en-US">
            <a:effectLst/>
          </a:endParaRPr>
        </a:p>
        <a:p>
          <a:r>
            <a:rPr lang="en-US" sz="1100">
              <a:solidFill>
                <a:schemeClr val="dk1"/>
              </a:solidFill>
              <a:effectLst/>
              <a:latin typeface="+mn-lt"/>
              <a:ea typeface="+mn-ea"/>
              <a:cs typeface="+mn-cs"/>
            </a:rPr>
            <a:t>In no event shall JOURNALSHEET.COM be liable for any damages (including, without limitation, lost profits, business interruption, or lost information) rising out of 'Authorized Users' use of or inability to use the JOURNALSHEET.COM SPREADSHEET, even if JOURNALSHEET.COM has been advised of the possibility of such damages. In no event will JOURNALSHEET.COM be liable for loss of data or for indirect, special, incidental, consequential (including lost profit), or other damages based in contract, tort or otherwise. JOURNALSHEET.COM shall have no liability with respect to the content of the JOURNALSHEET.COM SPREADSHEET or any part thereof, including but not limited to errors or omissions contained therein, libel, infringements of rights of publicity, privacy, trademark rights, business interruption, personal injury, loss of privacy, moral rights or the disclosure of confidential information.</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727075</xdr:colOff>
      <xdr:row>14</xdr:row>
      <xdr:rowOff>123825</xdr:rowOff>
    </xdr:from>
    <xdr:to>
      <xdr:col>18</xdr:col>
      <xdr:colOff>361950</xdr:colOff>
      <xdr:row>19</xdr:row>
      <xdr:rowOff>38100</xdr:rowOff>
    </xdr:to>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7832725" y="2943225"/>
          <a:ext cx="5387975" cy="2362200"/>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sym typeface="Wingdings"/>
            </a:rPr>
            <a:t></a:t>
          </a:r>
          <a:r>
            <a:rPr lang="en-US" sz="1100" b="1">
              <a:solidFill>
                <a:schemeClr val="dk1"/>
              </a:solidFill>
              <a:effectLst/>
              <a:latin typeface="+mn-lt"/>
              <a:ea typeface="+mn-ea"/>
              <a:cs typeface="+mn-cs"/>
            </a:rPr>
            <a:t>Click on BUY NOW button </a:t>
          </a:r>
          <a:r>
            <a:rPr lang="en-US" sz="1100">
              <a:solidFill>
                <a:schemeClr val="dk1"/>
              </a:solidFill>
              <a:effectLst/>
              <a:latin typeface="+mn-lt"/>
              <a:ea typeface="+mn-ea"/>
              <a:cs typeface="+mn-cs"/>
            </a:rPr>
            <a:t>to bring you to paypal website. You don't need to open a paypal account. You can pay with or without paypal account using paypal balance or credit card.</a:t>
          </a:r>
        </a:p>
        <a:p>
          <a:endParaRPr lang="en-US">
            <a:effectLst/>
          </a:endParaRPr>
        </a:p>
        <a:p>
          <a:r>
            <a:rPr lang="en-US" sz="1100">
              <a:solidFill>
                <a:schemeClr val="dk1"/>
              </a:solidFill>
              <a:effectLst/>
              <a:latin typeface="+mn-lt"/>
              <a:ea typeface="+mn-ea"/>
              <a:cs typeface="+mn-cs"/>
              <a:sym typeface="Wingdings"/>
            </a:rPr>
            <a:t></a:t>
          </a:r>
          <a:r>
            <a:rPr lang="en-US" sz="1100">
              <a:solidFill>
                <a:schemeClr val="dk1"/>
              </a:solidFill>
              <a:effectLst/>
              <a:latin typeface="+mn-lt"/>
              <a:ea typeface="+mn-ea"/>
              <a:cs typeface="+mn-cs"/>
            </a:rPr>
            <a:t>After successful transaction</a:t>
          </a:r>
          <a:r>
            <a:rPr lang="en-US" sz="1100" b="1">
              <a:solidFill>
                <a:schemeClr val="dk1"/>
              </a:solidFill>
              <a:effectLst/>
              <a:latin typeface="+mn-lt"/>
              <a:ea typeface="+mn-ea"/>
              <a:cs typeface="+mn-cs"/>
            </a:rPr>
            <a:t>, you will receive an email to download the file </a:t>
          </a:r>
          <a:r>
            <a:rPr lang="en-US" sz="1100">
              <a:solidFill>
                <a:schemeClr val="dk1"/>
              </a:solidFill>
              <a:effectLst/>
              <a:latin typeface="+mn-lt"/>
              <a:ea typeface="+mn-ea"/>
              <a:cs typeface="+mn-cs"/>
            </a:rPr>
            <a:t>to your paypal email address automatically</a:t>
          </a:r>
        </a:p>
        <a:p>
          <a:endParaRPr lang="en-US">
            <a:effectLst/>
          </a:endParaRPr>
        </a:p>
        <a:p>
          <a:r>
            <a:rPr lang="en-US" sz="1100">
              <a:solidFill>
                <a:schemeClr val="dk1"/>
              </a:solidFill>
              <a:effectLst/>
              <a:latin typeface="+mn-lt"/>
              <a:ea typeface="+mn-ea"/>
              <a:cs typeface="+mn-cs"/>
              <a:sym typeface="Wingdings"/>
            </a:rPr>
            <a:t></a:t>
          </a:r>
          <a:r>
            <a:rPr lang="en-US" sz="1100" b="1">
              <a:solidFill>
                <a:schemeClr val="dk1"/>
              </a:solidFill>
              <a:effectLst/>
              <a:latin typeface="+mn-lt"/>
              <a:ea typeface="+mn-ea"/>
              <a:cs typeface="+mn-cs"/>
            </a:rPr>
            <a:t>Check your SPAM folder</a:t>
          </a:r>
          <a:r>
            <a:rPr lang="en-US" sz="1100">
              <a:solidFill>
                <a:schemeClr val="dk1"/>
              </a:solidFill>
              <a:effectLst/>
              <a:latin typeface="+mn-lt"/>
              <a:ea typeface="+mn-ea"/>
              <a:cs typeface="+mn-cs"/>
            </a:rPr>
            <a:t> </a:t>
          </a:r>
          <a:r>
            <a:rPr lang="en-US" sz="1100" b="1">
              <a:solidFill>
                <a:schemeClr val="dk1"/>
              </a:solidFill>
              <a:effectLst/>
              <a:latin typeface="+mn-lt"/>
              <a:ea typeface="+mn-ea"/>
              <a:cs typeface="+mn-cs"/>
            </a:rPr>
            <a:t>if you don't receive the email in your inbox folder </a:t>
          </a:r>
          <a:r>
            <a:rPr lang="en-US" sz="1100">
              <a:solidFill>
                <a:schemeClr val="dk1"/>
              </a:solidFill>
              <a:effectLst/>
              <a:latin typeface="+mn-lt"/>
              <a:ea typeface="+mn-ea"/>
              <a:cs typeface="+mn-cs"/>
            </a:rPr>
            <a:t>after 15 minutes. Sometimes, security of your email system will direct the email that contains link to spam folder</a:t>
          </a:r>
        </a:p>
        <a:p>
          <a:endParaRPr lang="en-US">
            <a:effectLst/>
          </a:endParaRPr>
        </a:p>
        <a:p>
          <a:r>
            <a:rPr lang="en-US" sz="1100">
              <a:solidFill>
                <a:schemeClr val="dk1"/>
              </a:solidFill>
              <a:effectLst/>
              <a:latin typeface="+mn-lt"/>
              <a:ea typeface="+mn-ea"/>
              <a:cs typeface="+mn-cs"/>
              <a:sym typeface="Wingdings"/>
            </a:rPr>
            <a:t></a:t>
          </a:r>
          <a:r>
            <a:rPr lang="en-US" sz="1100">
              <a:solidFill>
                <a:schemeClr val="dk1"/>
              </a:solidFill>
              <a:effectLst/>
              <a:latin typeface="+mn-lt"/>
              <a:ea typeface="+mn-ea"/>
              <a:cs typeface="+mn-cs"/>
            </a:rPr>
            <a:t>Email us at </a:t>
          </a:r>
          <a:r>
            <a:rPr lang="en-US" sz="1100" b="1">
              <a:solidFill>
                <a:schemeClr val="dk1"/>
              </a:solidFill>
              <a:effectLst/>
              <a:latin typeface="+mn-lt"/>
              <a:ea typeface="+mn-ea"/>
              <a:cs typeface="+mn-cs"/>
            </a:rPr>
            <a:t>support@journalsheet.com</a:t>
          </a:r>
          <a:r>
            <a:rPr lang="en-US" sz="1100">
              <a:solidFill>
                <a:schemeClr val="dk1"/>
              </a:solidFill>
              <a:effectLst/>
              <a:latin typeface="+mn-lt"/>
              <a:ea typeface="+mn-ea"/>
              <a:cs typeface="+mn-cs"/>
            </a:rPr>
            <a:t> if you still don't receive it or you have issue on downloading the file</a:t>
          </a:r>
          <a:endParaRPr lang="en-US">
            <a:effectLst/>
          </a:endParaRPr>
        </a:p>
        <a:p>
          <a:endParaRPr lang="en-US" sz="1100"/>
        </a:p>
      </xdr:txBody>
    </xdr:sp>
    <xdr:clientData/>
  </xdr:twoCellAnchor>
  <xdr:twoCellAnchor>
    <xdr:from>
      <xdr:col>10</xdr:col>
      <xdr:colOff>238125</xdr:colOff>
      <xdr:row>14</xdr:row>
      <xdr:rowOff>174625</xdr:rowOff>
    </xdr:from>
    <xdr:to>
      <xdr:col>10</xdr:col>
      <xdr:colOff>644525</xdr:colOff>
      <xdr:row>15</xdr:row>
      <xdr:rowOff>527050</xdr:rowOff>
    </xdr:to>
    <xdr:sp macro="" textlink="">
      <xdr:nvSpPr>
        <xdr:cNvPr id="4" name="Chevron 3">
          <a:extLst>
            <a:ext uri="{FF2B5EF4-FFF2-40B4-BE49-F238E27FC236}">
              <a16:creationId xmlns:a16="http://schemas.microsoft.com/office/drawing/2014/main" id="{00000000-0008-0000-0500-000004000000}"/>
            </a:ext>
          </a:extLst>
        </xdr:cNvPr>
        <xdr:cNvSpPr/>
      </xdr:nvSpPr>
      <xdr:spPr>
        <a:xfrm flipH="1">
          <a:off x="7343775" y="2984500"/>
          <a:ext cx="406400" cy="552450"/>
        </a:xfrm>
        <a:prstGeom prst="chevron">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solidFill>
          </a:endParaRPr>
        </a:p>
      </xdr:txBody>
    </xdr:sp>
    <xdr:clientData/>
  </xdr:twoCellAnchor>
  <xdr:twoCellAnchor editAs="oneCell">
    <xdr:from>
      <xdr:col>8</xdr:col>
      <xdr:colOff>47625</xdr:colOff>
      <xdr:row>15</xdr:row>
      <xdr:rowOff>38100</xdr:rowOff>
    </xdr:from>
    <xdr:to>
      <xdr:col>9</xdr:col>
      <xdr:colOff>948690</xdr:colOff>
      <xdr:row>15</xdr:row>
      <xdr:rowOff>539841</xdr:rowOff>
    </xdr:to>
    <xdr:pic>
      <xdr:nvPicPr>
        <xdr:cNvPr id="5" name="Picture 4">
          <a:hlinkClick xmlns:r="http://schemas.openxmlformats.org/officeDocument/2006/relationships" r:id="rId1"/>
          <a:extLst>
            <a:ext uri="{FF2B5EF4-FFF2-40B4-BE49-F238E27FC236}">
              <a16:creationId xmlns:a16="http://schemas.microsoft.com/office/drawing/2014/main" id="{A60C86B7-2ABF-4C25-98AE-341C66F01A8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181725" y="2533650"/>
          <a:ext cx="1005840" cy="501741"/>
        </a:xfrm>
        <a:prstGeom prst="rect">
          <a:avLst/>
        </a:prstGeom>
      </xdr:spPr>
    </xdr:pic>
    <xdr:clientData/>
  </xdr:twoCellAnchor>
  <xdr:twoCellAnchor editAs="oneCell">
    <xdr:from>
      <xdr:col>8</xdr:col>
      <xdr:colOff>47625</xdr:colOff>
      <xdr:row>16</xdr:row>
      <xdr:rowOff>50800</xdr:rowOff>
    </xdr:from>
    <xdr:to>
      <xdr:col>9</xdr:col>
      <xdr:colOff>948690</xdr:colOff>
      <xdr:row>16</xdr:row>
      <xdr:rowOff>552541</xdr:rowOff>
    </xdr:to>
    <xdr:pic>
      <xdr:nvPicPr>
        <xdr:cNvPr id="6" name="Picture 5">
          <a:hlinkClick xmlns:r="http://schemas.openxmlformats.org/officeDocument/2006/relationships" r:id="rId3"/>
          <a:extLst>
            <a:ext uri="{FF2B5EF4-FFF2-40B4-BE49-F238E27FC236}">
              <a16:creationId xmlns:a16="http://schemas.microsoft.com/office/drawing/2014/main" id="{29630D4C-DE21-4CEC-AEC2-2111619133F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181725" y="3117850"/>
          <a:ext cx="1005840" cy="501741"/>
        </a:xfrm>
        <a:prstGeom prst="rect">
          <a:avLst/>
        </a:prstGeom>
      </xdr:spPr>
    </xdr:pic>
    <xdr:clientData/>
  </xdr:twoCellAnchor>
  <xdr:twoCellAnchor editAs="oneCell">
    <xdr:from>
      <xdr:col>8</xdr:col>
      <xdr:colOff>47625</xdr:colOff>
      <xdr:row>17</xdr:row>
      <xdr:rowOff>63500</xdr:rowOff>
    </xdr:from>
    <xdr:to>
      <xdr:col>9</xdr:col>
      <xdr:colOff>948690</xdr:colOff>
      <xdr:row>17</xdr:row>
      <xdr:rowOff>565241</xdr:rowOff>
    </xdr:to>
    <xdr:pic>
      <xdr:nvPicPr>
        <xdr:cNvPr id="7" name="Picture 6">
          <a:hlinkClick xmlns:r="http://schemas.openxmlformats.org/officeDocument/2006/relationships" r:id="rId4"/>
          <a:extLst>
            <a:ext uri="{FF2B5EF4-FFF2-40B4-BE49-F238E27FC236}">
              <a16:creationId xmlns:a16="http://schemas.microsoft.com/office/drawing/2014/main" id="{C5544A6A-455F-4430-8522-BCCF250B372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181725" y="3702050"/>
          <a:ext cx="1005840" cy="501741"/>
        </a:xfrm>
        <a:prstGeom prst="rect">
          <a:avLst/>
        </a:prstGeom>
      </xdr:spPr>
    </xdr:pic>
    <xdr:clientData/>
  </xdr:twoCellAnchor>
  <xdr:twoCellAnchor editAs="oneCell">
    <xdr:from>
      <xdr:col>8</xdr:col>
      <xdr:colOff>47625</xdr:colOff>
      <xdr:row>18</xdr:row>
      <xdr:rowOff>76200</xdr:rowOff>
    </xdr:from>
    <xdr:to>
      <xdr:col>9</xdr:col>
      <xdr:colOff>948690</xdr:colOff>
      <xdr:row>19</xdr:row>
      <xdr:rowOff>6441</xdr:rowOff>
    </xdr:to>
    <xdr:pic>
      <xdr:nvPicPr>
        <xdr:cNvPr id="8" name="Picture 7">
          <a:hlinkClick xmlns:r="http://schemas.openxmlformats.org/officeDocument/2006/relationships" r:id="rId5"/>
          <a:extLst>
            <a:ext uri="{FF2B5EF4-FFF2-40B4-BE49-F238E27FC236}">
              <a16:creationId xmlns:a16="http://schemas.microsoft.com/office/drawing/2014/main" id="{343B356E-B533-4444-AC31-83BADD82E0A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181725" y="4286250"/>
          <a:ext cx="1005840" cy="501741"/>
        </a:xfrm>
        <a:prstGeom prst="rect">
          <a:avLst/>
        </a:prstGeom>
      </xdr:spPr>
    </xdr:pic>
    <xdr:clientData/>
  </xdr:twoCellAnchor>
</xdr:wsDr>
</file>

<file path=xl/theme/theme1.xml><?xml version="1.0" encoding="utf-8"?>
<a:theme xmlns:a="http://schemas.openxmlformats.org/drawingml/2006/main" name="Office Theme">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fatfreecartpro.com/ecom/gb.php?&amp;c=single&amp;cl=353533&amp;i=1897131" TargetMode="External"/><Relationship Id="rId1" Type="http://schemas.openxmlformats.org/officeDocument/2006/relationships/hyperlink" Target="https://inside.fifa.com/fifa-world-ranking/men"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fatfreecartpro.com/ecom/gb.php?&amp;c=single&amp;cl=353533&amp;i=1897131" TargetMode="External"/><Relationship Id="rId1" Type="http://schemas.openxmlformats.org/officeDocument/2006/relationships/hyperlink" Target="https://journalsheet.com/product/js847-ss-xl-%e2%97%89-fifa-world-cup-2026-predictor-game"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3" Type="http://schemas.openxmlformats.org/officeDocument/2006/relationships/hyperlink" Target="https://journalsheet.com/product/js848-ss-xl-%e2%97%89-world-cup-2026-last-man-standing-game" TargetMode="External"/><Relationship Id="rId7" Type="http://schemas.openxmlformats.org/officeDocument/2006/relationships/drawing" Target="../drawings/drawing3.xml"/><Relationship Id="rId2" Type="http://schemas.openxmlformats.org/officeDocument/2006/relationships/hyperlink" Target="https://journalsheet.com/product/js849-ss-xl-%e2%97%89-world-cup-2026-fixtures-with-top-scorer" TargetMode="External"/><Relationship Id="rId1" Type="http://schemas.openxmlformats.org/officeDocument/2006/relationships/hyperlink" Target="https://journalsheet.com/product-category/sport-spreadsheets" TargetMode="External"/><Relationship Id="rId6" Type="http://schemas.openxmlformats.org/officeDocument/2006/relationships/printerSettings" Target="../printerSettings/printerSettings5.bin"/><Relationship Id="rId5" Type="http://schemas.openxmlformats.org/officeDocument/2006/relationships/hyperlink" Target="https://journalsheet.com/product/js846-ss-xl-%e2%97%89-fifa-world-cup-2026-fixtures-scoresheet" TargetMode="External"/><Relationship Id="rId4" Type="http://schemas.openxmlformats.org/officeDocument/2006/relationships/hyperlink" Target="https://journalsheet.com/product/js847-ss-xl-%e2%97%89-fifa-world-cup-2026-predictor-gam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B176"/>
  <sheetViews>
    <sheetView showGridLines="0" zoomScaleNormal="100" workbookViewId="0">
      <pane ySplit="7" topLeftCell="A8" activePane="bottomLeft" state="frozen"/>
      <selection pane="bottomLeft" activeCell="L5" sqref="L5"/>
    </sheetView>
  </sheetViews>
  <sheetFormatPr defaultColWidth="8.85546875" defaultRowHeight="15" x14ac:dyDescent="0.2"/>
  <cols>
    <col min="1" max="1" width="1.7109375" style="203" customWidth="1"/>
    <col min="2" max="2" width="45.7109375" style="5" customWidth="1"/>
    <col min="3" max="3" width="45.7109375" style="1" customWidth="1"/>
    <col min="4" max="4" width="11.85546875" style="1" customWidth="1"/>
    <col min="5" max="5" width="3.140625" style="50" customWidth="1"/>
    <col min="6" max="7" width="8.85546875" style="1" customWidth="1"/>
    <col min="8" max="8" width="1.5703125" style="1" customWidth="1"/>
    <col min="9" max="9" width="0.85546875" style="60" customWidth="1"/>
    <col min="10" max="10" width="1.5703125" style="1" customWidth="1"/>
    <col min="11" max="11" width="2.5703125" style="1" customWidth="1"/>
    <col min="12" max="12" width="24.5703125" style="1" customWidth="1"/>
    <col min="13" max="13" width="10.28515625" style="1" customWidth="1"/>
    <col min="14" max="23" width="8.85546875" style="1"/>
    <col min="24" max="24" width="16.42578125" style="1" customWidth="1"/>
    <col min="25" max="16384" width="8.85546875" style="1"/>
  </cols>
  <sheetData>
    <row r="1" spans="1:106" s="59" customFormat="1" ht="5.45" customHeight="1" x14ac:dyDescent="0.25">
      <c r="A1" s="97"/>
      <c r="B1" s="66"/>
      <c r="C1" s="204"/>
      <c r="D1" s="204"/>
      <c r="E1" s="205"/>
      <c r="F1" s="65"/>
      <c r="G1" s="65"/>
      <c r="J1" s="65"/>
      <c r="K1" s="66"/>
      <c r="L1" s="66"/>
      <c r="M1" s="66"/>
      <c r="U1" s="63"/>
      <c r="V1" s="63"/>
      <c r="W1" s="63"/>
      <c r="X1" s="63"/>
      <c r="Y1" s="63"/>
      <c r="Z1" s="63"/>
      <c r="AA1" s="67"/>
      <c r="AB1" s="67"/>
      <c r="AC1" s="67"/>
      <c r="AD1" s="206"/>
      <c r="AE1" s="207"/>
      <c r="AF1" s="208"/>
      <c r="CY1" s="63"/>
      <c r="CZ1" s="63"/>
      <c r="DA1" s="63"/>
      <c r="DB1" s="63"/>
    </row>
    <row r="2" spans="1:106" ht="36" x14ac:dyDescent="0.2">
      <c r="B2" s="2" t="s">
        <v>0</v>
      </c>
      <c r="C2" s="257" t="s">
        <v>1167</v>
      </c>
      <c r="D2" s="257"/>
      <c r="E2" s="257"/>
      <c r="F2" s="257"/>
      <c r="G2" s="257"/>
      <c r="J2" s="4"/>
      <c r="K2" s="5"/>
      <c r="L2" s="5"/>
      <c r="M2" s="5"/>
      <c r="O2" s="6"/>
      <c r="P2" s="6"/>
      <c r="Q2" s="6"/>
      <c r="R2" s="6"/>
      <c r="S2" s="6"/>
      <c r="T2" s="6"/>
      <c r="U2" s="6"/>
      <c r="V2" s="6"/>
      <c r="AA2" s="7"/>
      <c r="AB2" s="7"/>
      <c r="AC2" s="7"/>
      <c r="AD2" s="8"/>
      <c r="AE2" s="9"/>
      <c r="AF2" s="10"/>
      <c r="CY2" s="11"/>
      <c r="CZ2" s="11"/>
      <c r="DA2" s="11"/>
      <c r="DB2" s="11"/>
    </row>
    <row r="3" spans="1:106" ht="5.0999999999999996" customHeight="1" x14ac:dyDescent="0.2"/>
    <row r="4" spans="1:106" ht="15" customHeight="1" x14ac:dyDescent="0.2">
      <c r="B4" s="209" t="s">
        <v>468</v>
      </c>
      <c r="C4" s="53">
        <v>0</v>
      </c>
      <c r="D4" s="256" t="s">
        <v>469</v>
      </c>
      <c r="F4" s="211"/>
      <c r="G4" s="211"/>
      <c r="K4" s="27" t="s">
        <v>401</v>
      </c>
      <c r="L4" s="1" t="s">
        <v>1171</v>
      </c>
    </row>
    <row r="5" spans="1:106" ht="15" customHeight="1" x14ac:dyDescent="0.2">
      <c r="B5" s="209" t="s">
        <v>399</v>
      </c>
      <c r="C5" s="54" t="s">
        <v>1</v>
      </c>
      <c r="D5" s="256"/>
      <c r="F5" s="254" t="s">
        <v>683</v>
      </c>
      <c r="G5" s="254" t="s">
        <v>2</v>
      </c>
      <c r="K5" s="27" t="s">
        <v>401</v>
      </c>
      <c r="L5" s="1" t="s">
        <v>470</v>
      </c>
    </row>
    <row r="6" spans="1:106" ht="15" customHeight="1" x14ac:dyDescent="0.2">
      <c r="B6" s="210" t="s">
        <v>400</v>
      </c>
      <c r="C6" s="13" t="s">
        <v>3</v>
      </c>
      <c r="D6" s="16"/>
      <c r="F6" s="254"/>
      <c r="G6" s="254"/>
      <c r="L6" s="10" t="s">
        <v>402</v>
      </c>
    </row>
    <row r="7" spans="1:106" ht="15" customHeight="1" x14ac:dyDescent="0.2">
      <c r="A7" s="14"/>
      <c r="B7" s="212" t="s">
        <v>4</v>
      </c>
      <c r="C7" s="213" t="s">
        <v>5</v>
      </c>
      <c r="D7" s="214" t="s">
        <v>12</v>
      </c>
      <c r="E7" s="51"/>
      <c r="F7" s="255"/>
      <c r="G7" s="255"/>
      <c r="K7" s="27" t="s">
        <v>401</v>
      </c>
      <c r="L7" s="1" t="s">
        <v>471</v>
      </c>
    </row>
    <row r="8" spans="1:106" ht="15" customHeight="1" x14ac:dyDescent="0.2">
      <c r="A8" s="203">
        <v>1</v>
      </c>
      <c r="B8" s="15" t="s">
        <v>476</v>
      </c>
      <c r="C8" s="13"/>
      <c r="D8" s="49" t="s">
        <v>72</v>
      </c>
      <c r="E8" s="52" t="s">
        <v>6</v>
      </c>
      <c r="F8" s="26">
        <v>16</v>
      </c>
      <c r="G8" s="26"/>
      <c r="K8" s="28"/>
      <c r="L8" s="34" t="s">
        <v>415</v>
      </c>
    </row>
    <row r="9" spans="1:106" ht="15" customHeight="1" x14ac:dyDescent="0.2">
      <c r="A9" s="203">
        <v>2</v>
      </c>
      <c r="B9" s="15" t="s">
        <v>518</v>
      </c>
      <c r="C9" s="13"/>
      <c r="D9" s="49" t="s">
        <v>72</v>
      </c>
      <c r="E9" s="52" t="s">
        <v>6</v>
      </c>
      <c r="F9" s="16">
        <v>60</v>
      </c>
      <c r="G9" s="16"/>
      <c r="K9" s="28" t="s">
        <v>401</v>
      </c>
      <c r="L9" s="10" t="s">
        <v>685</v>
      </c>
    </row>
    <row r="10" spans="1:106" ht="15" customHeight="1" thickBot="1" x14ac:dyDescent="0.25">
      <c r="A10" s="203">
        <v>3</v>
      </c>
      <c r="B10" s="15" t="s">
        <v>477</v>
      </c>
      <c r="C10" s="13"/>
      <c r="D10" s="49" t="s">
        <v>72</v>
      </c>
      <c r="E10" s="52" t="s">
        <v>6</v>
      </c>
      <c r="F10" s="26">
        <v>22</v>
      </c>
      <c r="G10" s="26"/>
      <c r="K10" s="27" t="s">
        <v>401</v>
      </c>
      <c r="L10" s="1" t="s">
        <v>684</v>
      </c>
      <c r="V10" s="30"/>
      <c r="W10" s="30"/>
      <c r="X10" s="30"/>
    </row>
    <row r="11" spans="1:106" ht="15" customHeight="1" thickBot="1" x14ac:dyDescent="0.25">
      <c r="A11" s="203">
        <v>4</v>
      </c>
      <c r="B11" s="15" t="s">
        <v>1138</v>
      </c>
      <c r="C11" s="13"/>
      <c r="D11" s="49" t="s">
        <v>72</v>
      </c>
      <c r="E11" s="52" t="s">
        <v>6</v>
      </c>
      <c r="F11" s="16">
        <v>43</v>
      </c>
      <c r="G11" s="16"/>
      <c r="K11" s="29" t="s">
        <v>403</v>
      </c>
      <c r="L11" s="30"/>
      <c r="M11" s="31"/>
      <c r="N11" s="33"/>
      <c r="O11" s="30"/>
      <c r="P11" s="30"/>
      <c r="Q11" s="30"/>
      <c r="R11" s="30"/>
      <c r="S11" s="30"/>
      <c r="T11" s="30"/>
      <c r="U11" s="30"/>
    </row>
    <row r="12" spans="1:106" ht="15" customHeight="1" x14ac:dyDescent="0.2">
      <c r="A12" s="203">
        <v>5</v>
      </c>
      <c r="B12" s="15" t="s">
        <v>478</v>
      </c>
      <c r="C12" s="13"/>
      <c r="D12" s="49" t="s">
        <v>73</v>
      </c>
      <c r="E12" s="52" t="s">
        <v>6</v>
      </c>
      <c r="F12" s="26">
        <v>29</v>
      </c>
      <c r="G12" s="26"/>
      <c r="K12" s="1" t="s">
        <v>414</v>
      </c>
    </row>
    <row r="13" spans="1:106" ht="15" customHeight="1" x14ac:dyDescent="0.2">
      <c r="A13" s="203">
        <v>6</v>
      </c>
      <c r="B13" s="15" t="s">
        <v>1139</v>
      </c>
      <c r="C13" s="13"/>
      <c r="D13" s="49" t="s">
        <v>73</v>
      </c>
      <c r="E13" s="52" t="s">
        <v>6</v>
      </c>
      <c r="F13" s="16">
        <v>71</v>
      </c>
      <c r="G13" s="16"/>
      <c r="K13" s="12">
        <v>1</v>
      </c>
      <c r="L13" s="1" t="s">
        <v>404</v>
      </c>
    </row>
    <row r="14" spans="1:106" ht="15" customHeight="1" x14ac:dyDescent="0.2">
      <c r="A14" s="203">
        <v>7</v>
      </c>
      <c r="B14" s="15" t="s">
        <v>479</v>
      </c>
      <c r="C14" s="13"/>
      <c r="D14" s="49" t="s">
        <v>73</v>
      </c>
      <c r="E14" s="52" t="s">
        <v>6</v>
      </c>
      <c r="F14" s="26">
        <v>56</v>
      </c>
      <c r="G14" s="26"/>
      <c r="K14" s="12">
        <v>2</v>
      </c>
      <c r="L14" s="1" t="s">
        <v>407</v>
      </c>
    </row>
    <row r="15" spans="1:106" ht="15" customHeight="1" x14ac:dyDescent="0.2">
      <c r="A15" s="203">
        <v>8</v>
      </c>
      <c r="B15" s="15" t="s">
        <v>480</v>
      </c>
      <c r="C15" s="13"/>
      <c r="D15" s="49" t="s">
        <v>73</v>
      </c>
      <c r="E15" s="52" t="s">
        <v>6</v>
      </c>
      <c r="F15" s="16">
        <v>18</v>
      </c>
      <c r="G15" s="16"/>
      <c r="K15" s="12">
        <v>3</v>
      </c>
      <c r="L15" s="1" t="s">
        <v>408</v>
      </c>
    </row>
    <row r="16" spans="1:106" ht="15" customHeight="1" x14ac:dyDescent="0.2">
      <c r="A16" s="203">
        <v>9</v>
      </c>
      <c r="B16" s="15" t="s">
        <v>481</v>
      </c>
      <c r="C16" s="13"/>
      <c r="D16" s="49" t="s">
        <v>74</v>
      </c>
      <c r="E16" s="52" t="s">
        <v>6</v>
      </c>
      <c r="F16" s="26">
        <v>5</v>
      </c>
      <c r="G16" s="26"/>
      <c r="K16" s="12">
        <v>4</v>
      </c>
      <c r="L16" s="1" t="s">
        <v>409</v>
      </c>
    </row>
    <row r="17" spans="1:12" ht="15" customHeight="1" x14ac:dyDescent="0.2">
      <c r="A17" s="203">
        <v>10</v>
      </c>
      <c r="B17" s="15" t="s">
        <v>482</v>
      </c>
      <c r="C17" s="13"/>
      <c r="D17" s="49" t="s">
        <v>74</v>
      </c>
      <c r="E17" s="52" t="s">
        <v>6</v>
      </c>
      <c r="F17" s="16">
        <v>8</v>
      </c>
      <c r="G17" s="16"/>
      <c r="K17" s="12">
        <v>5</v>
      </c>
      <c r="L17" s="1" t="s">
        <v>472</v>
      </c>
    </row>
    <row r="18" spans="1:12" ht="15" customHeight="1" x14ac:dyDescent="0.2">
      <c r="A18" s="203">
        <v>11</v>
      </c>
      <c r="B18" s="15" t="s">
        <v>483</v>
      </c>
      <c r="C18" s="13"/>
      <c r="D18" s="49" t="s">
        <v>74</v>
      </c>
      <c r="E18" s="52" t="s">
        <v>6</v>
      </c>
      <c r="F18" s="26">
        <v>83</v>
      </c>
      <c r="G18" s="26"/>
      <c r="K18" s="12">
        <v>6</v>
      </c>
      <c r="L18" s="1" t="s">
        <v>405</v>
      </c>
    </row>
    <row r="19" spans="1:12" ht="15" customHeight="1" x14ac:dyDescent="0.2">
      <c r="A19" s="203">
        <v>12</v>
      </c>
      <c r="B19" s="15" t="s">
        <v>484</v>
      </c>
      <c r="C19" s="13"/>
      <c r="D19" s="49" t="s">
        <v>74</v>
      </c>
      <c r="E19" s="52" t="s">
        <v>6</v>
      </c>
      <c r="F19" s="16">
        <v>38</v>
      </c>
      <c r="G19" s="16"/>
      <c r="K19" s="12">
        <v>7</v>
      </c>
      <c r="L19" s="1" t="s">
        <v>406</v>
      </c>
    </row>
    <row r="20" spans="1:12" ht="15" customHeight="1" x14ac:dyDescent="0.2">
      <c r="A20" s="203">
        <v>13</v>
      </c>
      <c r="B20" s="15" t="s">
        <v>431</v>
      </c>
      <c r="C20" s="13"/>
      <c r="D20" s="49" t="s">
        <v>69</v>
      </c>
      <c r="E20" s="52" t="s">
        <v>6</v>
      </c>
      <c r="F20" s="26">
        <v>15</v>
      </c>
      <c r="G20" s="26"/>
      <c r="K20" s="12">
        <v>8</v>
      </c>
      <c r="L20" s="1" t="s">
        <v>473</v>
      </c>
    </row>
    <row r="21" spans="1:12" ht="15" customHeight="1" x14ac:dyDescent="0.2">
      <c r="A21" s="203">
        <v>14</v>
      </c>
      <c r="B21" s="15" t="s">
        <v>485</v>
      </c>
      <c r="C21" s="13"/>
      <c r="D21" s="49" t="s">
        <v>69</v>
      </c>
      <c r="E21" s="52" t="s">
        <v>6</v>
      </c>
      <c r="F21" s="16">
        <v>40</v>
      </c>
      <c r="G21" s="16"/>
      <c r="K21" s="12"/>
      <c r="L21" s="1" t="s">
        <v>410</v>
      </c>
    </row>
    <row r="22" spans="1:12" ht="15" customHeight="1" x14ac:dyDescent="0.2">
      <c r="A22" s="203">
        <v>15</v>
      </c>
      <c r="B22" s="15" t="s">
        <v>486</v>
      </c>
      <c r="C22" s="13"/>
      <c r="D22" s="49" t="s">
        <v>69</v>
      </c>
      <c r="E22" s="52" t="s">
        <v>6</v>
      </c>
      <c r="F22" s="26">
        <v>27</v>
      </c>
      <c r="G22" s="26"/>
      <c r="K22" s="12"/>
      <c r="L22" s="1" t="s">
        <v>411</v>
      </c>
    </row>
    <row r="23" spans="1:12" ht="15" customHeight="1" x14ac:dyDescent="0.2">
      <c r="A23" s="203">
        <v>16</v>
      </c>
      <c r="B23" s="15" t="s">
        <v>1140</v>
      </c>
      <c r="C23" s="13"/>
      <c r="D23" s="49" t="s">
        <v>69</v>
      </c>
      <c r="E23" s="52" t="s">
        <v>6</v>
      </c>
      <c r="F23" s="16">
        <v>25</v>
      </c>
      <c r="G23" s="16"/>
      <c r="K23" s="12"/>
      <c r="L23" s="1" t="s">
        <v>412</v>
      </c>
    </row>
    <row r="24" spans="1:12" ht="15" customHeight="1" x14ac:dyDescent="0.2">
      <c r="A24" s="203">
        <v>17</v>
      </c>
      <c r="B24" s="15" t="s">
        <v>487</v>
      </c>
      <c r="C24" s="13"/>
      <c r="D24" s="49" t="s">
        <v>76</v>
      </c>
      <c r="E24" s="52" t="s">
        <v>6</v>
      </c>
      <c r="F24" s="26">
        <v>10</v>
      </c>
      <c r="G24" s="26"/>
      <c r="K24" s="12"/>
      <c r="L24" s="1" t="s">
        <v>413</v>
      </c>
    </row>
    <row r="25" spans="1:12" ht="15" customHeight="1" x14ac:dyDescent="0.2">
      <c r="A25" s="203">
        <v>18</v>
      </c>
      <c r="B25" s="15" t="s">
        <v>488</v>
      </c>
      <c r="C25" s="13"/>
      <c r="D25" s="49" t="s">
        <v>76</v>
      </c>
      <c r="E25" s="52" t="s">
        <v>6</v>
      </c>
      <c r="F25" s="16">
        <v>81</v>
      </c>
      <c r="G25" s="16"/>
      <c r="K25" s="12">
        <v>9</v>
      </c>
      <c r="L25" s="1" t="s">
        <v>682</v>
      </c>
    </row>
    <row r="26" spans="1:12" ht="15" customHeight="1" x14ac:dyDescent="0.2">
      <c r="A26" s="203">
        <v>19</v>
      </c>
      <c r="B26" s="15" t="s">
        <v>489</v>
      </c>
      <c r="C26" s="13"/>
      <c r="D26" s="49" t="s">
        <v>76</v>
      </c>
      <c r="E26" s="52" t="s">
        <v>6</v>
      </c>
      <c r="F26" s="26">
        <v>37</v>
      </c>
      <c r="G26" s="26"/>
    </row>
    <row r="27" spans="1:12" ht="15" customHeight="1" x14ac:dyDescent="0.2">
      <c r="A27" s="203">
        <v>20</v>
      </c>
      <c r="B27" s="15" t="s">
        <v>490</v>
      </c>
      <c r="C27" s="13"/>
      <c r="D27" s="49" t="s">
        <v>76</v>
      </c>
      <c r="E27" s="52" t="s">
        <v>6</v>
      </c>
      <c r="F27" s="16">
        <v>23</v>
      </c>
      <c r="G27" s="16"/>
      <c r="L27" s="201" t="s">
        <v>686</v>
      </c>
    </row>
    <row r="28" spans="1:12" ht="15" customHeight="1" x14ac:dyDescent="0.2">
      <c r="A28" s="203">
        <v>21</v>
      </c>
      <c r="B28" s="15" t="s">
        <v>491</v>
      </c>
      <c r="C28" s="13"/>
      <c r="D28" s="49" t="s">
        <v>75</v>
      </c>
      <c r="E28" s="52" t="s">
        <v>6</v>
      </c>
      <c r="F28" s="26">
        <v>7</v>
      </c>
      <c r="G28" s="26"/>
    </row>
    <row r="29" spans="1:12" ht="15" customHeight="1" x14ac:dyDescent="0.2">
      <c r="A29" s="203">
        <v>22</v>
      </c>
      <c r="B29" s="15" t="s">
        <v>492</v>
      </c>
      <c r="C29" s="13"/>
      <c r="D29" s="49" t="s">
        <v>75</v>
      </c>
      <c r="E29" s="52" t="s">
        <v>6</v>
      </c>
      <c r="F29" s="16">
        <v>19</v>
      </c>
      <c r="G29" s="16"/>
    </row>
    <row r="30" spans="1:12" ht="15" customHeight="1" x14ac:dyDescent="0.2">
      <c r="A30" s="203">
        <v>23</v>
      </c>
      <c r="B30" s="15" t="s">
        <v>1141</v>
      </c>
      <c r="C30" s="13"/>
      <c r="D30" s="49" t="s">
        <v>75</v>
      </c>
      <c r="E30" s="52" t="s">
        <v>6</v>
      </c>
      <c r="F30" s="26">
        <v>42</v>
      </c>
      <c r="G30" s="26"/>
    </row>
    <row r="31" spans="1:12" ht="15" customHeight="1" x14ac:dyDescent="0.2">
      <c r="A31" s="203">
        <v>24</v>
      </c>
      <c r="B31" s="15" t="s">
        <v>493</v>
      </c>
      <c r="C31" s="13"/>
      <c r="D31" s="49" t="s">
        <v>75</v>
      </c>
      <c r="E31" s="52" t="s">
        <v>6</v>
      </c>
      <c r="F31" s="16">
        <v>47</v>
      </c>
      <c r="G31" s="16"/>
    </row>
    <row r="32" spans="1:12" ht="15" customHeight="1" x14ac:dyDescent="0.2">
      <c r="A32" s="203">
        <v>25</v>
      </c>
      <c r="B32" s="15" t="s">
        <v>494</v>
      </c>
      <c r="C32" s="13"/>
      <c r="D32" s="49" t="s">
        <v>77</v>
      </c>
      <c r="E32" s="52" t="s">
        <v>6</v>
      </c>
      <c r="F32" s="26">
        <v>9</v>
      </c>
      <c r="G32" s="26"/>
    </row>
    <row r="33" spans="1:7" ht="15" customHeight="1" x14ac:dyDescent="0.2">
      <c r="A33" s="203">
        <v>26</v>
      </c>
      <c r="B33" s="15" t="s">
        <v>495</v>
      </c>
      <c r="C33" s="13"/>
      <c r="D33" s="49" t="s">
        <v>77</v>
      </c>
      <c r="E33" s="52" t="s">
        <v>6</v>
      </c>
      <c r="F33" s="16">
        <v>31</v>
      </c>
      <c r="G33" s="16"/>
    </row>
    <row r="34" spans="1:7" ht="15" customHeight="1" x14ac:dyDescent="0.2">
      <c r="A34" s="203">
        <v>27</v>
      </c>
      <c r="B34" s="15" t="s">
        <v>496</v>
      </c>
      <c r="C34" s="13"/>
      <c r="D34" s="49" t="s">
        <v>77</v>
      </c>
      <c r="E34" s="52" t="s">
        <v>6</v>
      </c>
      <c r="F34" s="26">
        <v>20</v>
      </c>
      <c r="G34" s="26"/>
    </row>
    <row r="35" spans="1:7" ht="15" customHeight="1" x14ac:dyDescent="0.2">
      <c r="A35" s="203">
        <v>28</v>
      </c>
      <c r="B35" s="15" t="s">
        <v>497</v>
      </c>
      <c r="C35" s="13"/>
      <c r="D35" s="49" t="s">
        <v>77</v>
      </c>
      <c r="E35" s="52" t="s">
        <v>6</v>
      </c>
      <c r="F35" s="16">
        <v>85</v>
      </c>
      <c r="G35" s="16"/>
    </row>
    <row r="36" spans="1:7" ht="15" customHeight="1" x14ac:dyDescent="0.2">
      <c r="A36" s="203">
        <v>29</v>
      </c>
      <c r="B36" s="15" t="s">
        <v>498</v>
      </c>
      <c r="C36" s="13"/>
      <c r="D36" s="49" t="s">
        <v>78</v>
      </c>
      <c r="E36" s="52" t="s">
        <v>6</v>
      </c>
      <c r="F36" s="26">
        <v>1</v>
      </c>
      <c r="G36" s="26"/>
    </row>
    <row r="37" spans="1:7" ht="15" customHeight="1" x14ac:dyDescent="0.2">
      <c r="A37" s="203">
        <v>30</v>
      </c>
      <c r="B37" s="15" t="s">
        <v>633</v>
      </c>
      <c r="C37" s="13"/>
      <c r="D37" s="49" t="s">
        <v>78</v>
      </c>
      <c r="E37" s="52" t="s">
        <v>6</v>
      </c>
      <c r="F37" s="16">
        <v>67</v>
      </c>
      <c r="G37" s="16"/>
    </row>
    <row r="38" spans="1:7" ht="15" customHeight="1" x14ac:dyDescent="0.2">
      <c r="A38" s="203">
        <v>31</v>
      </c>
      <c r="B38" s="15" t="s">
        <v>499</v>
      </c>
      <c r="C38" s="13"/>
      <c r="D38" s="49" t="s">
        <v>78</v>
      </c>
      <c r="E38" s="52" t="s">
        <v>6</v>
      </c>
      <c r="F38" s="26">
        <v>61</v>
      </c>
      <c r="G38" s="26"/>
    </row>
    <row r="39" spans="1:7" ht="15" customHeight="1" x14ac:dyDescent="0.2">
      <c r="A39" s="203">
        <v>32</v>
      </c>
      <c r="B39" s="15" t="s">
        <v>500</v>
      </c>
      <c r="C39" s="13"/>
      <c r="D39" s="49" t="s">
        <v>78</v>
      </c>
      <c r="E39" s="52" t="s">
        <v>6</v>
      </c>
      <c r="F39" s="16">
        <v>17</v>
      </c>
      <c r="G39" s="16"/>
    </row>
    <row r="40" spans="1:7" ht="15" customHeight="1" x14ac:dyDescent="0.2">
      <c r="A40" s="203">
        <v>33</v>
      </c>
      <c r="B40" s="15" t="s">
        <v>501</v>
      </c>
      <c r="C40" s="13"/>
      <c r="D40" s="49" t="s">
        <v>515</v>
      </c>
      <c r="E40" s="52" t="s">
        <v>6</v>
      </c>
      <c r="F40" s="26">
        <v>3</v>
      </c>
      <c r="G40" s="26"/>
    </row>
    <row r="41" spans="1:7" ht="15" customHeight="1" x14ac:dyDescent="0.2">
      <c r="A41" s="203">
        <v>34</v>
      </c>
      <c r="B41" s="15" t="s">
        <v>502</v>
      </c>
      <c r="C41" s="13"/>
      <c r="D41" s="49" t="s">
        <v>515</v>
      </c>
      <c r="E41" s="52" t="s">
        <v>6</v>
      </c>
      <c r="F41" s="16">
        <v>12</v>
      </c>
      <c r="G41" s="16"/>
    </row>
    <row r="42" spans="1:7" ht="15" customHeight="1" x14ac:dyDescent="0.2">
      <c r="A42" s="203">
        <v>35</v>
      </c>
      <c r="B42" s="15" t="s">
        <v>1164</v>
      </c>
      <c r="C42" s="13"/>
      <c r="D42" s="49" t="s">
        <v>515</v>
      </c>
      <c r="E42" s="52" t="s">
        <v>6</v>
      </c>
      <c r="F42" s="26">
        <v>58</v>
      </c>
      <c r="G42" s="26"/>
    </row>
    <row r="43" spans="1:7" ht="15" customHeight="1" x14ac:dyDescent="0.2">
      <c r="A43" s="203">
        <v>36</v>
      </c>
      <c r="B43" s="15" t="s">
        <v>503</v>
      </c>
      <c r="C43" s="13"/>
      <c r="D43" s="49" t="s">
        <v>515</v>
      </c>
      <c r="E43" s="52" t="s">
        <v>6</v>
      </c>
      <c r="F43" s="16">
        <v>32</v>
      </c>
      <c r="G43" s="16"/>
    </row>
    <row r="44" spans="1:7" ht="15" customHeight="1" x14ac:dyDescent="0.2">
      <c r="A44" s="203">
        <v>37</v>
      </c>
      <c r="B44" s="15" t="s">
        <v>504</v>
      </c>
      <c r="C44" s="13"/>
      <c r="D44" s="49" t="s">
        <v>516</v>
      </c>
      <c r="E44" s="52" t="s">
        <v>6</v>
      </c>
      <c r="F44" s="26">
        <v>2</v>
      </c>
      <c r="G44" s="26"/>
    </row>
    <row r="45" spans="1:7" ht="15" customHeight="1" x14ac:dyDescent="0.2">
      <c r="A45" s="203">
        <v>38</v>
      </c>
      <c r="B45" s="15" t="s">
        <v>505</v>
      </c>
      <c r="C45" s="13"/>
      <c r="D45" s="49" t="s">
        <v>516</v>
      </c>
      <c r="E45" s="52" t="s">
        <v>6</v>
      </c>
      <c r="F45" s="16">
        <v>28</v>
      </c>
      <c r="G45" s="16"/>
    </row>
    <row r="46" spans="1:7" ht="15" customHeight="1" x14ac:dyDescent="0.2">
      <c r="A46" s="203">
        <v>39</v>
      </c>
      <c r="B46" s="15" t="s">
        <v>506</v>
      </c>
      <c r="C46" s="13"/>
      <c r="D46" s="49" t="s">
        <v>516</v>
      </c>
      <c r="E46" s="52" t="s">
        <v>6</v>
      </c>
      <c r="F46" s="26">
        <v>24</v>
      </c>
      <c r="G46" s="26"/>
    </row>
    <row r="47" spans="1:7" ht="15" customHeight="1" x14ac:dyDescent="0.2">
      <c r="A47" s="203">
        <v>40</v>
      </c>
      <c r="B47" s="15" t="s">
        <v>507</v>
      </c>
      <c r="C47" s="13"/>
      <c r="D47" s="49" t="s">
        <v>516</v>
      </c>
      <c r="E47" s="52" t="s">
        <v>6</v>
      </c>
      <c r="F47" s="16">
        <v>64</v>
      </c>
      <c r="G47" s="16"/>
    </row>
    <row r="48" spans="1:7" ht="15" customHeight="1" x14ac:dyDescent="0.2">
      <c r="A48" s="203">
        <v>41</v>
      </c>
      <c r="B48" s="15" t="s">
        <v>508</v>
      </c>
      <c r="C48" s="13"/>
      <c r="D48" s="49" t="s">
        <v>517</v>
      </c>
      <c r="E48" s="52" t="s">
        <v>6</v>
      </c>
      <c r="F48" s="26">
        <v>6</v>
      </c>
      <c r="G48" s="26"/>
    </row>
    <row r="49" spans="1:7" ht="15" customHeight="1" x14ac:dyDescent="0.2">
      <c r="A49" s="203">
        <v>42</v>
      </c>
      <c r="B49" s="15" t="s">
        <v>1165</v>
      </c>
      <c r="C49" s="13"/>
      <c r="D49" s="49" t="s">
        <v>517</v>
      </c>
      <c r="E49" s="52" t="s">
        <v>6</v>
      </c>
      <c r="F49" s="16">
        <v>48</v>
      </c>
      <c r="G49" s="16"/>
    </row>
    <row r="50" spans="1:7" ht="15" customHeight="1" x14ac:dyDescent="0.2">
      <c r="A50" s="203">
        <v>43</v>
      </c>
      <c r="B50" s="15" t="s">
        <v>509</v>
      </c>
      <c r="C50" s="13"/>
      <c r="D50" s="49" t="s">
        <v>517</v>
      </c>
      <c r="E50" s="52" t="s">
        <v>6</v>
      </c>
      <c r="F50" s="26">
        <v>52</v>
      </c>
      <c r="G50" s="26"/>
    </row>
    <row r="51" spans="1:7" ht="15" customHeight="1" x14ac:dyDescent="0.2">
      <c r="A51" s="203">
        <v>44</v>
      </c>
      <c r="B51" s="15" t="s">
        <v>510</v>
      </c>
      <c r="C51" s="13"/>
      <c r="D51" s="49" t="s">
        <v>517</v>
      </c>
      <c r="E51" s="52" t="s">
        <v>6</v>
      </c>
      <c r="F51" s="16">
        <v>14</v>
      </c>
      <c r="G51" s="16"/>
    </row>
    <row r="52" spans="1:7" ht="15" customHeight="1" x14ac:dyDescent="0.2">
      <c r="A52" s="203">
        <v>45</v>
      </c>
      <c r="B52" s="15" t="s">
        <v>511</v>
      </c>
      <c r="C52" s="13"/>
      <c r="D52" s="49" t="s">
        <v>70</v>
      </c>
      <c r="E52" s="52" t="s">
        <v>6</v>
      </c>
      <c r="F52" s="26">
        <v>4</v>
      </c>
      <c r="G52" s="26"/>
    </row>
    <row r="53" spans="1:7" ht="15" customHeight="1" x14ac:dyDescent="0.2">
      <c r="A53" s="203">
        <v>46</v>
      </c>
      <c r="B53" s="15" t="s">
        <v>512</v>
      </c>
      <c r="C53" s="13"/>
      <c r="D53" s="49" t="s">
        <v>70</v>
      </c>
      <c r="E53" s="52" t="s">
        <v>6</v>
      </c>
      <c r="F53" s="16">
        <v>11</v>
      </c>
      <c r="G53" s="16"/>
    </row>
    <row r="54" spans="1:7" ht="15" customHeight="1" x14ac:dyDescent="0.2">
      <c r="A54" s="203">
        <v>47</v>
      </c>
      <c r="B54" s="15" t="s">
        <v>513</v>
      </c>
      <c r="C54" s="13"/>
      <c r="D54" s="49" t="s">
        <v>70</v>
      </c>
      <c r="E54" s="52" t="s">
        <v>6</v>
      </c>
      <c r="F54" s="26">
        <v>72</v>
      </c>
      <c r="G54" s="26"/>
    </row>
    <row r="55" spans="1:7" ht="15" customHeight="1" x14ac:dyDescent="0.2">
      <c r="A55" s="203">
        <v>48</v>
      </c>
      <c r="B55" s="15" t="s">
        <v>514</v>
      </c>
      <c r="C55" s="13"/>
      <c r="D55" s="49" t="s">
        <v>70</v>
      </c>
      <c r="E55" s="52" t="s">
        <v>6</v>
      </c>
      <c r="F55" s="16">
        <v>33</v>
      </c>
      <c r="G55" s="16"/>
    </row>
    <row r="56" spans="1:7" ht="15" customHeight="1" x14ac:dyDescent="0.2">
      <c r="B56" s="15" t="s">
        <v>7</v>
      </c>
      <c r="C56" s="13"/>
      <c r="D56" s="48"/>
    </row>
    <row r="57" spans="1:7" ht="15" customHeight="1" x14ac:dyDescent="0.2">
      <c r="B57" s="15" t="s">
        <v>8</v>
      </c>
      <c r="C57" s="13"/>
      <c r="D57" s="48"/>
    </row>
    <row r="58" spans="1:7" ht="15" customHeight="1" x14ac:dyDescent="0.2">
      <c r="B58" s="15" t="s">
        <v>9</v>
      </c>
      <c r="C58" s="13"/>
      <c r="D58" s="48"/>
    </row>
    <row r="59" spans="1:7" ht="15" customHeight="1" x14ac:dyDescent="0.2">
      <c r="B59" s="15" t="s">
        <v>10</v>
      </c>
      <c r="C59" s="13"/>
      <c r="D59" s="48"/>
    </row>
    <row r="60" spans="1:7" ht="15" customHeight="1" x14ac:dyDescent="0.2">
      <c r="B60" s="15" t="s">
        <v>11</v>
      </c>
      <c r="C60" s="13"/>
      <c r="D60" s="48"/>
    </row>
    <row r="61" spans="1:7" ht="15" customHeight="1" x14ac:dyDescent="0.2">
      <c r="B61" s="15" t="s">
        <v>12</v>
      </c>
      <c r="C61" s="13"/>
      <c r="D61" s="48"/>
    </row>
    <row r="62" spans="1:7" ht="15" customHeight="1" x14ac:dyDescent="0.2">
      <c r="B62" s="15" t="s">
        <v>13</v>
      </c>
      <c r="C62" s="13"/>
      <c r="D62" s="48"/>
    </row>
    <row r="63" spans="1:7" ht="15" customHeight="1" x14ac:dyDescent="0.2">
      <c r="B63" s="15" t="s">
        <v>14</v>
      </c>
      <c r="C63" s="13"/>
      <c r="D63" s="48"/>
    </row>
    <row r="64" spans="1:7" ht="15" customHeight="1" x14ac:dyDescent="0.2">
      <c r="B64" s="15" t="s">
        <v>15</v>
      </c>
      <c r="C64" s="13"/>
      <c r="D64" s="48"/>
    </row>
    <row r="65" spans="2:4" ht="15" customHeight="1" x14ac:dyDescent="0.2">
      <c r="B65" s="15" t="s">
        <v>16</v>
      </c>
      <c r="C65" s="13"/>
      <c r="D65" s="48"/>
    </row>
    <row r="66" spans="2:4" ht="15" customHeight="1" x14ac:dyDescent="0.2">
      <c r="B66" s="15" t="s">
        <v>536</v>
      </c>
      <c r="C66" s="13"/>
      <c r="D66" s="48"/>
    </row>
    <row r="67" spans="2:4" ht="15" customHeight="1" x14ac:dyDescent="0.2">
      <c r="B67" s="15" t="s">
        <v>17</v>
      </c>
      <c r="C67" s="13"/>
      <c r="D67" s="48"/>
    </row>
    <row r="68" spans="2:4" ht="15" customHeight="1" x14ac:dyDescent="0.2">
      <c r="B68" s="15" t="s">
        <v>18</v>
      </c>
      <c r="C68" s="13"/>
      <c r="D68" s="48"/>
    </row>
    <row r="69" spans="2:4" ht="15" customHeight="1" x14ac:dyDescent="0.2">
      <c r="B69" s="15" t="s">
        <v>19</v>
      </c>
      <c r="C69" s="13"/>
      <c r="D69" s="48"/>
    </row>
    <row r="70" spans="2:4" ht="15" customHeight="1" x14ac:dyDescent="0.2">
      <c r="B70" s="15" t="s">
        <v>20</v>
      </c>
      <c r="C70" s="13"/>
      <c r="D70" s="48"/>
    </row>
    <row r="71" spans="2:4" ht="15" customHeight="1" x14ac:dyDescent="0.2">
      <c r="B71" s="15" t="s">
        <v>21</v>
      </c>
      <c r="C71" s="13"/>
      <c r="D71" s="48"/>
    </row>
    <row r="72" spans="2:4" ht="15" customHeight="1" x14ac:dyDescent="0.2">
      <c r="B72" s="15" t="s">
        <v>22</v>
      </c>
      <c r="C72" s="13"/>
      <c r="D72" s="48"/>
    </row>
    <row r="73" spans="2:4" ht="15" customHeight="1" x14ac:dyDescent="0.2">
      <c r="B73" s="15" t="s">
        <v>23</v>
      </c>
      <c r="C73" s="13"/>
      <c r="D73" s="48"/>
    </row>
    <row r="74" spans="2:4" ht="15" customHeight="1" x14ac:dyDescent="0.2">
      <c r="B74" s="15" t="s">
        <v>24</v>
      </c>
      <c r="C74" s="13"/>
      <c r="D74" s="48"/>
    </row>
    <row r="75" spans="2:4" ht="15" customHeight="1" x14ac:dyDescent="0.2">
      <c r="B75" s="15" t="s">
        <v>416</v>
      </c>
      <c r="C75" s="13"/>
      <c r="D75" s="48"/>
    </row>
    <row r="76" spans="2:4" ht="15" customHeight="1" x14ac:dyDescent="0.2">
      <c r="B76" s="15" t="s">
        <v>25</v>
      </c>
      <c r="C76" s="13"/>
      <c r="D76" s="48"/>
    </row>
    <row r="77" spans="2:4" ht="15" customHeight="1" x14ac:dyDescent="0.2">
      <c r="B77" s="15" t="s">
        <v>26</v>
      </c>
      <c r="C77" s="13"/>
      <c r="D77" s="48"/>
    </row>
    <row r="78" spans="2:4" ht="15" customHeight="1" x14ac:dyDescent="0.2">
      <c r="B78" s="15" t="s">
        <v>27</v>
      </c>
      <c r="C78" s="13"/>
      <c r="D78" s="48"/>
    </row>
    <row r="79" spans="2:4" ht="15" customHeight="1" x14ac:dyDescent="0.2">
      <c r="B79" s="15" t="s">
        <v>28</v>
      </c>
      <c r="C79" s="13"/>
      <c r="D79" s="48"/>
    </row>
    <row r="80" spans="2:4" ht="15" customHeight="1" x14ac:dyDescent="0.2">
      <c r="B80" s="15" t="s">
        <v>29</v>
      </c>
      <c r="C80" s="13"/>
      <c r="D80" s="48"/>
    </row>
    <row r="81" spans="2:4" ht="15" customHeight="1" x14ac:dyDescent="0.2">
      <c r="B81" s="15" t="s">
        <v>30</v>
      </c>
      <c r="C81" s="13"/>
      <c r="D81" s="48"/>
    </row>
    <row r="82" spans="2:4" ht="15" customHeight="1" x14ac:dyDescent="0.2">
      <c r="B82" s="15" t="s">
        <v>31</v>
      </c>
      <c r="C82" s="13"/>
      <c r="D82" s="48"/>
    </row>
    <row r="83" spans="2:4" ht="15" customHeight="1" x14ac:dyDescent="0.2">
      <c r="B83" s="15" t="s">
        <v>32</v>
      </c>
      <c r="C83" s="13"/>
      <c r="D83" s="48"/>
    </row>
    <row r="84" spans="2:4" ht="15" customHeight="1" x14ac:dyDescent="0.2">
      <c r="B84" s="15" t="s">
        <v>33</v>
      </c>
      <c r="C84" s="13"/>
      <c r="D84" s="48"/>
    </row>
    <row r="85" spans="2:4" ht="15" customHeight="1" x14ac:dyDescent="0.2">
      <c r="B85" s="15" t="s">
        <v>34</v>
      </c>
      <c r="C85" s="13"/>
      <c r="D85" s="48"/>
    </row>
    <row r="86" spans="2:4" ht="15" customHeight="1" x14ac:dyDescent="0.2">
      <c r="B86" s="15" t="s">
        <v>35</v>
      </c>
      <c r="C86" s="13"/>
      <c r="D86" s="48"/>
    </row>
    <row r="87" spans="2:4" ht="15" customHeight="1" x14ac:dyDescent="0.2">
      <c r="B87" s="15" t="s">
        <v>537</v>
      </c>
      <c r="C87" s="13"/>
      <c r="D87" s="48"/>
    </row>
    <row r="88" spans="2:4" ht="15" customHeight="1" x14ac:dyDescent="0.2">
      <c r="B88" s="15" t="s">
        <v>538</v>
      </c>
      <c r="C88" s="13"/>
      <c r="D88" s="48"/>
    </row>
    <row r="89" spans="2:4" ht="15" customHeight="1" x14ac:dyDescent="0.2">
      <c r="B89" s="15" t="s">
        <v>539</v>
      </c>
      <c r="C89" s="13"/>
      <c r="D89" s="48"/>
    </row>
    <row r="90" spans="2:4" ht="15" customHeight="1" x14ac:dyDescent="0.2">
      <c r="B90" s="15" t="s">
        <v>540</v>
      </c>
      <c r="C90" s="13"/>
      <c r="D90" s="48"/>
    </row>
    <row r="91" spans="2:4" ht="15" customHeight="1" x14ac:dyDescent="0.2">
      <c r="B91" s="15" t="s">
        <v>36</v>
      </c>
      <c r="C91" s="13"/>
      <c r="D91" s="48"/>
    </row>
    <row r="92" spans="2:4" ht="15" customHeight="1" x14ac:dyDescent="0.2">
      <c r="B92" s="15" t="s">
        <v>37</v>
      </c>
      <c r="C92" s="13"/>
      <c r="D92" s="48"/>
    </row>
    <row r="93" spans="2:4" ht="15" customHeight="1" x14ac:dyDescent="0.2">
      <c r="B93" s="15" t="s">
        <v>38</v>
      </c>
      <c r="C93" s="13"/>
      <c r="D93" s="48"/>
    </row>
    <row r="94" spans="2:4" ht="15" customHeight="1" x14ac:dyDescent="0.2">
      <c r="B94" s="15" t="s">
        <v>39</v>
      </c>
      <c r="C94" s="13"/>
      <c r="D94" s="48"/>
    </row>
    <row r="95" spans="2:4" ht="15" customHeight="1" x14ac:dyDescent="0.2">
      <c r="B95" s="15" t="s">
        <v>40</v>
      </c>
      <c r="C95" s="13"/>
      <c r="D95" s="48"/>
    </row>
    <row r="96" spans="2:4" ht="15" customHeight="1" x14ac:dyDescent="0.2">
      <c r="B96" s="15" t="s">
        <v>41</v>
      </c>
      <c r="C96" s="13"/>
      <c r="D96" s="48"/>
    </row>
    <row r="97" spans="2:4" ht="15" customHeight="1" x14ac:dyDescent="0.2">
      <c r="B97" s="15" t="s">
        <v>42</v>
      </c>
      <c r="C97" s="13"/>
      <c r="D97" s="48"/>
    </row>
    <row r="98" spans="2:4" ht="15" customHeight="1" x14ac:dyDescent="0.2">
      <c r="B98" s="15" t="s">
        <v>43</v>
      </c>
      <c r="C98" s="13"/>
      <c r="D98" s="48"/>
    </row>
    <row r="99" spans="2:4" ht="15" customHeight="1" x14ac:dyDescent="0.2">
      <c r="B99" s="15" t="s">
        <v>541</v>
      </c>
      <c r="C99" s="13"/>
      <c r="D99" s="48"/>
    </row>
    <row r="100" spans="2:4" ht="15" customHeight="1" x14ac:dyDescent="0.2">
      <c r="B100" s="15" t="s">
        <v>542</v>
      </c>
      <c r="C100" s="13"/>
      <c r="D100" s="48"/>
    </row>
    <row r="101" spans="2:4" ht="15" customHeight="1" x14ac:dyDescent="0.2">
      <c r="B101" s="15" t="s">
        <v>543</v>
      </c>
      <c r="C101" s="13"/>
      <c r="D101" s="48"/>
    </row>
    <row r="102" spans="2:4" ht="15" customHeight="1" x14ac:dyDescent="0.2">
      <c r="B102" s="15" t="s">
        <v>544</v>
      </c>
      <c r="C102" s="13"/>
      <c r="D102" s="48"/>
    </row>
    <row r="103" spans="2:4" ht="15" customHeight="1" x14ac:dyDescent="0.2">
      <c r="B103" s="15" t="s">
        <v>556</v>
      </c>
      <c r="C103" s="13"/>
      <c r="D103" s="48"/>
    </row>
    <row r="104" spans="2:4" ht="15" customHeight="1" x14ac:dyDescent="0.2">
      <c r="B104" s="15" t="s">
        <v>561</v>
      </c>
      <c r="C104" s="13"/>
      <c r="D104" s="48"/>
    </row>
    <row r="105" spans="2:4" ht="15" customHeight="1" x14ac:dyDescent="0.2">
      <c r="B105" s="15" t="s">
        <v>560</v>
      </c>
      <c r="C105" s="13"/>
      <c r="D105" s="48"/>
    </row>
    <row r="106" spans="2:4" ht="15" customHeight="1" x14ac:dyDescent="0.2">
      <c r="B106" s="15" t="s">
        <v>557</v>
      </c>
      <c r="C106" s="13"/>
      <c r="D106" s="48"/>
    </row>
    <row r="107" spans="2:4" ht="15" customHeight="1" x14ac:dyDescent="0.2">
      <c r="B107" s="15" t="s">
        <v>558</v>
      </c>
      <c r="C107" s="13"/>
      <c r="D107" s="48"/>
    </row>
    <row r="108" spans="2:4" ht="15" customHeight="1" x14ac:dyDescent="0.2">
      <c r="B108" s="15" t="s">
        <v>563</v>
      </c>
      <c r="C108" s="13"/>
      <c r="D108" s="48"/>
    </row>
    <row r="109" spans="2:4" ht="15" customHeight="1" x14ac:dyDescent="0.2">
      <c r="B109" s="15" t="s">
        <v>562</v>
      </c>
      <c r="C109" s="13"/>
      <c r="D109" s="48"/>
    </row>
    <row r="110" spans="2:4" ht="15" customHeight="1" x14ac:dyDescent="0.2">
      <c r="B110" s="15" t="s">
        <v>559</v>
      </c>
      <c r="C110" s="13"/>
      <c r="D110" s="48"/>
    </row>
    <row r="111" spans="2:4" ht="15" customHeight="1" x14ac:dyDescent="0.2">
      <c r="B111" s="15" t="s">
        <v>594</v>
      </c>
      <c r="C111" s="13"/>
      <c r="D111" s="48"/>
    </row>
    <row r="112" spans="2:4" ht="15" customHeight="1" x14ac:dyDescent="0.2">
      <c r="B112" s="15" t="s">
        <v>595</v>
      </c>
      <c r="C112" s="13"/>
      <c r="D112" s="48"/>
    </row>
    <row r="113" spans="2:4" ht="15" customHeight="1" x14ac:dyDescent="0.2">
      <c r="B113" s="15" t="s">
        <v>596</v>
      </c>
      <c r="C113" s="13"/>
      <c r="D113" s="48"/>
    </row>
    <row r="114" spans="2:4" ht="15" customHeight="1" x14ac:dyDescent="0.2">
      <c r="B114" s="15" t="s">
        <v>597</v>
      </c>
      <c r="C114" s="13"/>
      <c r="D114" s="48"/>
    </row>
    <row r="115" spans="2:4" ht="15" customHeight="1" x14ac:dyDescent="0.2">
      <c r="B115" s="15" t="s">
        <v>598</v>
      </c>
      <c r="C115" s="13"/>
      <c r="D115" s="48"/>
    </row>
    <row r="116" spans="2:4" ht="15" customHeight="1" x14ac:dyDescent="0.2">
      <c r="B116" s="15" t="s">
        <v>599</v>
      </c>
      <c r="C116" s="13"/>
      <c r="D116" s="48"/>
    </row>
    <row r="117" spans="2:4" ht="15" customHeight="1" x14ac:dyDescent="0.2">
      <c r="B117" s="15" t="s">
        <v>600</v>
      </c>
      <c r="C117" s="13"/>
      <c r="D117" s="48"/>
    </row>
    <row r="118" spans="2:4" ht="15" customHeight="1" x14ac:dyDescent="0.2">
      <c r="B118" s="15" t="s">
        <v>601</v>
      </c>
      <c r="C118" s="13"/>
      <c r="D118" s="48"/>
    </row>
    <row r="119" spans="2:4" ht="15" customHeight="1" x14ac:dyDescent="0.2">
      <c r="B119" s="15" t="s">
        <v>602</v>
      </c>
      <c r="C119" s="13"/>
      <c r="D119" s="48"/>
    </row>
    <row r="120" spans="2:4" ht="15" customHeight="1" x14ac:dyDescent="0.2">
      <c r="B120" s="15" t="s">
        <v>603</v>
      </c>
      <c r="C120" s="13"/>
      <c r="D120" s="48"/>
    </row>
    <row r="121" spans="2:4" ht="15" customHeight="1" x14ac:dyDescent="0.2">
      <c r="B121" s="15" t="s">
        <v>604</v>
      </c>
      <c r="C121" s="13"/>
      <c r="D121" s="48"/>
    </row>
    <row r="122" spans="2:4" ht="15" customHeight="1" x14ac:dyDescent="0.2">
      <c r="B122" s="15" t="s">
        <v>605</v>
      </c>
      <c r="C122" s="13"/>
      <c r="D122" s="48"/>
    </row>
    <row r="123" spans="2:4" ht="15" customHeight="1" x14ac:dyDescent="0.2">
      <c r="B123" s="15" t="s">
        <v>606</v>
      </c>
      <c r="C123" s="13"/>
      <c r="D123" s="48"/>
    </row>
    <row r="124" spans="2:4" ht="15" customHeight="1" x14ac:dyDescent="0.2">
      <c r="B124" s="15" t="s">
        <v>607</v>
      </c>
      <c r="C124" s="13"/>
      <c r="D124" s="48"/>
    </row>
    <row r="125" spans="2:4" ht="15" customHeight="1" x14ac:dyDescent="0.2">
      <c r="B125" s="15" t="s">
        <v>608</v>
      </c>
      <c r="C125" s="13"/>
      <c r="D125" s="48"/>
    </row>
    <row r="126" spans="2:4" ht="15" customHeight="1" x14ac:dyDescent="0.2">
      <c r="B126" s="15" t="s">
        <v>609</v>
      </c>
      <c r="C126" s="13"/>
      <c r="D126" s="48"/>
    </row>
    <row r="127" spans="2:4" ht="15" customHeight="1" x14ac:dyDescent="0.2">
      <c r="B127" s="15" t="s">
        <v>610</v>
      </c>
      <c r="C127" s="13"/>
      <c r="D127" s="48"/>
    </row>
    <row r="128" spans="2:4" ht="15" customHeight="1" x14ac:dyDescent="0.2">
      <c r="B128" s="15" t="s">
        <v>611</v>
      </c>
      <c r="C128" s="13"/>
      <c r="D128" s="48"/>
    </row>
    <row r="129" spans="2:4" ht="15" customHeight="1" x14ac:dyDescent="0.2">
      <c r="B129" s="15" t="s">
        <v>612</v>
      </c>
      <c r="C129" s="13"/>
      <c r="D129" s="48"/>
    </row>
    <row r="130" spans="2:4" ht="15" customHeight="1" x14ac:dyDescent="0.2">
      <c r="B130" s="15" t="s">
        <v>613</v>
      </c>
      <c r="C130" s="13"/>
      <c r="D130" s="48"/>
    </row>
    <row r="131" spans="2:4" ht="15" customHeight="1" x14ac:dyDescent="0.2">
      <c r="B131" s="15" t="s">
        <v>614</v>
      </c>
      <c r="C131" s="13"/>
      <c r="D131" s="48"/>
    </row>
    <row r="132" spans="2:4" ht="15" customHeight="1" x14ac:dyDescent="0.2">
      <c r="B132" s="15" t="s">
        <v>615</v>
      </c>
      <c r="C132" s="13"/>
      <c r="D132" s="48"/>
    </row>
    <row r="133" spans="2:4" ht="15" customHeight="1" x14ac:dyDescent="0.2">
      <c r="B133" s="15" t="s">
        <v>616</v>
      </c>
      <c r="C133" s="13"/>
      <c r="D133" s="48"/>
    </row>
    <row r="134" spans="2:4" ht="15" customHeight="1" x14ac:dyDescent="0.2">
      <c r="B134" s="15" t="s">
        <v>617</v>
      </c>
      <c r="C134" s="13"/>
      <c r="D134" s="48"/>
    </row>
    <row r="135" spans="2:4" ht="15" customHeight="1" x14ac:dyDescent="0.2">
      <c r="B135" s="15" t="s">
        <v>618</v>
      </c>
      <c r="C135" s="13"/>
      <c r="D135" s="48"/>
    </row>
    <row r="136" spans="2:4" ht="15" customHeight="1" x14ac:dyDescent="0.2">
      <c r="B136" s="15" t="s">
        <v>619</v>
      </c>
      <c r="C136" s="13"/>
      <c r="D136" s="48"/>
    </row>
    <row r="137" spans="2:4" ht="15" customHeight="1" x14ac:dyDescent="0.2">
      <c r="B137" s="15" t="s">
        <v>620</v>
      </c>
      <c r="C137" s="13"/>
      <c r="D137" s="48"/>
    </row>
    <row r="138" spans="2:4" ht="15" customHeight="1" x14ac:dyDescent="0.2">
      <c r="B138" s="15" t="s">
        <v>621</v>
      </c>
      <c r="C138" s="13"/>
      <c r="D138" s="48"/>
    </row>
    <row r="139" spans="2:4" ht="15" customHeight="1" x14ac:dyDescent="0.2">
      <c r="B139" s="15" t="s">
        <v>622</v>
      </c>
      <c r="C139" s="13"/>
      <c r="D139" s="48"/>
    </row>
    <row r="140" spans="2:4" ht="15" customHeight="1" x14ac:dyDescent="0.2">
      <c r="B140" s="15" t="s">
        <v>623</v>
      </c>
      <c r="C140" s="13"/>
      <c r="D140" s="48"/>
    </row>
    <row r="141" spans="2:4" ht="15" customHeight="1" x14ac:dyDescent="0.2">
      <c r="B141" s="15" t="s">
        <v>627</v>
      </c>
      <c r="C141" s="13"/>
      <c r="D141" s="48"/>
    </row>
    <row r="142" spans="2:4" ht="15" customHeight="1" x14ac:dyDescent="0.2">
      <c r="B142" s="15" t="s">
        <v>628</v>
      </c>
      <c r="C142" s="13"/>
      <c r="D142" s="48"/>
    </row>
    <row r="143" spans="2:4" ht="15" customHeight="1" x14ac:dyDescent="0.2">
      <c r="B143" s="15" t="s">
        <v>625</v>
      </c>
      <c r="C143" s="13"/>
      <c r="D143" s="48"/>
    </row>
    <row r="144" spans="2:4" ht="15" customHeight="1" x14ac:dyDescent="0.2">
      <c r="B144" s="15" t="s">
        <v>624</v>
      </c>
      <c r="C144" s="13"/>
      <c r="D144" s="48"/>
    </row>
    <row r="145" spans="2:4" ht="15" customHeight="1" x14ac:dyDescent="0.2">
      <c r="B145" s="15" t="s">
        <v>626</v>
      </c>
      <c r="C145" s="13"/>
      <c r="D145" s="48"/>
    </row>
    <row r="146" spans="2:4" ht="15" customHeight="1" x14ac:dyDescent="0.2">
      <c r="B146" s="15" t="s">
        <v>44</v>
      </c>
      <c r="C146" s="13"/>
      <c r="D146" s="48"/>
    </row>
    <row r="147" spans="2:4" ht="15" customHeight="1" x14ac:dyDescent="0.2">
      <c r="B147" s="15" t="s">
        <v>45</v>
      </c>
      <c r="C147" s="13"/>
      <c r="D147" s="48"/>
    </row>
    <row r="148" spans="2:4" ht="15" customHeight="1" x14ac:dyDescent="0.2">
      <c r="B148" s="15" t="s">
        <v>46</v>
      </c>
      <c r="C148" s="13"/>
      <c r="D148" s="48"/>
    </row>
    <row r="149" spans="2:4" ht="15" customHeight="1" x14ac:dyDescent="0.2">
      <c r="B149" s="15" t="s">
        <v>47</v>
      </c>
      <c r="C149" s="13"/>
      <c r="D149" s="48"/>
    </row>
    <row r="150" spans="2:4" ht="15" customHeight="1" x14ac:dyDescent="0.2">
      <c r="B150" s="15" t="s">
        <v>48</v>
      </c>
      <c r="C150" s="13"/>
      <c r="D150" s="48"/>
    </row>
    <row r="151" spans="2:4" ht="15" customHeight="1" x14ac:dyDescent="0.2">
      <c r="B151" s="15" t="s">
        <v>49</v>
      </c>
      <c r="C151" s="13"/>
      <c r="D151" s="48"/>
    </row>
    <row r="152" spans="2:4" ht="15" customHeight="1" x14ac:dyDescent="0.2">
      <c r="B152" s="15" t="s">
        <v>50</v>
      </c>
      <c r="C152" s="13"/>
      <c r="D152" s="48"/>
    </row>
    <row r="153" spans="2:4" ht="15" customHeight="1" x14ac:dyDescent="0.2">
      <c r="B153" s="15" t="s">
        <v>51</v>
      </c>
      <c r="C153" s="13"/>
      <c r="D153" s="48"/>
    </row>
    <row r="154" spans="2:4" ht="15" customHeight="1" x14ac:dyDescent="0.2">
      <c r="B154" s="15" t="s">
        <v>52</v>
      </c>
      <c r="C154" s="13"/>
      <c r="D154" s="48"/>
    </row>
    <row r="155" spans="2:4" ht="15" customHeight="1" x14ac:dyDescent="0.2">
      <c r="B155" s="15" t="s">
        <v>53</v>
      </c>
      <c r="C155" s="13"/>
      <c r="D155" s="48"/>
    </row>
    <row r="156" spans="2:4" ht="15" customHeight="1" x14ac:dyDescent="0.2">
      <c r="B156" s="15" t="s">
        <v>54</v>
      </c>
      <c r="C156" s="13"/>
      <c r="D156" s="48"/>
    </row>
    <row r="157" spans="2:4" ht="15" customHeight="1" x14ac:dyDescent="0.2">
      <c r="B157" s="15" t="s">
        <v>55</v>
      </c>
      <c r="C157" s="13"/>
      <c r="D157" s="48"/>
    </row>
    <row r="158" spans="2:4" ht="15" customHeight="1" x14ac:dyDescent="0.2">
      <c r="B158" s="15" t="s">
        <v>56</v>
      </c>
      <c r="C158" s="13"/>
      <c r="D158" s="48"/>
    </row>
    <row r="159" spans="2:4" ht="15" customHeight="1" x14ac:dyDescent="0.2">
      <c r="B159" s="15" t="s">
        <v>57</v>
      </c>
      <c r="C159" s="13"/>
      <c r="D159" s="48"/>
    </row>
    <row r="160" spans="2:4" ht="15" customHeight="1" x14ac:dyDescent="0.2">
      <c r="B160" s="15" t="s">
        <v>58</v>
      </c>
      <c r="C160" s="13"/>
      <c r="D160" s="48"/>
    </row>
    <row r="161" spans="2:4" ht="15" customHeight="1" x14ac:dyDescent="0.2">
      <c r="B161" s="15" t="s">
        <v>59</v>
      </c>
      <c r="C161" s="13"/>
      <c r="D161" s="48"/>
    </row>
    <row r="162" spans="2:4" ht="15" customHeight="1" x14ac:dyDescent="0.2">
      <c r="B162" s="15" t="s">
        <v>545</v>
      </c>
      <c r="C162" s="13"/>
      <c r="D162" s="48"/>
    </row>
    <row r="163" spans="2:4" ht="15" customHeight="1" x14ac:dyDescent="0.2">
      <c r="B163" s="15" t="s">
        <v>546</v>
      </c>
      <c r="C163" s="13"/>
      <c r="D163" s="48"/>
    </row>
    <row r="164" spans="2:4" ht="15" customHeight="1" x14ac:dyDescent="0.2">
      <c r="B164" s="15" t="s">
        <v>547</v>
      </c>
      <c r="C164" s="13"/>
      <c r="D164" s="48"/>
    </row>
    <row r="165" spans="2:4" ht="15" customHeight="1" x14ac:dyDescent="0.2">
      <c r="B165" s="15" t="s">
        <v>548</v>
      </c>
      <c r="C165" s="13"/>
      <c r="D165" s="48"/>
    </row>
    <row r="166" spans="2:4" ht="15" customHeight="1" x14ac:dyDescent="0.2">
      <c r="B166" s="15" t="s">
        <v>60</v>
      </c>
      <c r="C166" s="13"/>
      <c r="D166" s="48"/>
    </row>
    <row r="167" spans="2:4" ht="15" customHeight="1" x14ac:dyDescent="0.2">
      <c r="B167" s="15" t="s">
        <v>61</v>
      </c>
      <c r="C167" s="13"/>
      <c r="D167" s="48"/>
    </row>
    <row r="168" spans="2:4" ht="15" customHeight="1" x14ac:dyDescent="0.2">
      <c r="B168" s="15" t="s">
        <v>62</v>
      </c>
      <c r="C168" s="13"/>
      <c r="D168" s="48"/>
    </row>
    <row r="169" spans="2:4" ht="15" customHeight="1" x14ac:dyDescent="0.2">
      <c r="B169" s="15" t="s">
        <v>63</v>
      </c>
      <c r="C169" s="13"/>
      <c r="D169" s="48"/>
    </row>
    <row r="170" spans="2:4" ht="15" customHeight="1" x14ac:dyDescent="0.2">
      <c r="B170" s="15" t="s">
        <v>64</v>
      </c>
      <c r="C170" s="13"/>
      <c r="D170" s="48"/>
    </row>
    <row r="171" spans="2:4" ht="15" customHeight="1" x14ac:dyDescent="0.2">
      <c r="B171" s="15" t="s">
        <v>65</v>
      </c>
      <c r="C171" s="13"/>
      <c r="D171" s="48"/>
    </row>
    <row r="172" spans="2:4" ht="15" customHeight="1" x14ac:dyDescent="0.2">
      <c r="B172" s="15" t="s">
        <v>66</v>
      </c>
      <c r="C172" s="13"/>
      <c r="D172" s="48"/>
    </row>
    <row r="173" spans="2:4" ht="15" customHeight="1" x14ac:dyDescent="0.2">
      <c r="B173" s="15" t="s">
        <v>629</v>
      </c>
      <c r="C173" s="13"/>
      <c r="D173" s="48"/>
    </row>
    <row r="174" spans="2:4" ht="15" customHeight="1" x14ac:dyDescent="0.2">
      <c r="B174" s="15" t="s">
        <v>630</v>
      </c>
      <c r="C174" s="13"/>
      <c r="D174" s="48"/>
    </row>
    <row r="175" spans="2:4" x14ac:dyDescent="0.2">
      <c r="B175" s="15" t="s">
        <v>631</v>
      </c>
      <c r="C175" s="13"/>
      <c r="D175" s="48"/>
    </row>
    <row r="176" spans="2:4" x14ac:dyDescent="0.2">
      <c r="B176" s="15" t="s">
        <v>632</v>
      </c>
      <c r="C176" s="13"/>
      <c r="D176" s="48"/>
    </row>
  </sheetData>
  <sheetProtection formatCells="0" formatColumns="0" formatRows="0"/>
  <mergeCells count="4">
    <mergeCell ref="G5:G7"/>
    <mergeCell ref="D4:D5"/>
    <mergeCell ref="F5:F7"/>
    <mergeCell ref="C2:G2"/>
  </mergeCells>
  <conditionalFormatting sqref="F8:F55">
    <cfRule type="duplicateValues" dxfId="15" priority="1"/>
  </conditionalFormatting>
  <dataValidations count="2">
    <dataValidation type="list" allowBlank="1" showInputMessage="1" showErrorMessage="1" sqref="C4" xr:uid="{00000000-0002-0000-0000-000000000000}">
      <formula1>TimeZoneList</formula1>
    </dataValidation>
    <dataValidation type="list" allowBlank="1" showInputMessage="1" showErrorMessage="1" sqref="C5" xr:uid="{00000000-0002-0000-0000-000001000000}">
      <formula1>Countries</formula1>
    </dataValidation>
  </dataValidations>
  <hyperlinks>
    <hyperlink ref="L27" r:id="rId1" display="FIFA World Ranking" xr:uid="{FE59382B-3AC1-462F-87DD-5CFDB04C6DDF}"/>
    <hyperlink ref="C2:G2" r:id="rId2" display="PURCHASE UNPROTECTED SCHEDULE &amp; SCORESHEET. MORE MODELS. WORKS ON GOOGLE SPREADSHEET. CLICK HERE" xr:uid="{C2E5F75B-1E42-4A13-8119-E576B63EB478}"/>
  </hyperlinks>
  <pageMargins left="0.2" right="0.2" top="0.25" bottom="0.25" header="0.3" footer="0.3"/>
  <pageSetup fitToHeight="0"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CW297"/>
  <sheetViews>
    <sheetView showGridLines="0" zoomScale="110" zoomScaleNormal="110" workbookViewId="0">
      <pane ySplit="3" topLeftCell="A4" activePane="bottomLeft" state="frozen"/>
      <selection pane="bottomLeft" activeCell="M114" sqref="M114:N114"/>
    </sheetView>
  </sheetViews>
  <sheetFormatPr defaultColWidth="9.140625" defaultRowHeight="15" zeroHeight="1" x14ac:dyDescent="0.25"/>
  <cols>
    <col min="1" max="1" width="0.85546875" style="59" customWidth="1"/>
    <col min="2" max="2" width="3.28515625" style="19" customWidth="1"/>
    <col min="3" max="3" width="3.7109375" style="19" customWidth="1"/>
    <col min="4" max="4" width="14.7109375" style="19" customWidth="1"/>
    <col min="5" max="6" width="3.5703125" style="19" hidden="1" customWidth="1"/>
    <col min="7" max="7" width="1.7109375" style="19" customWidth="1"/>
    <col min="8" max="8" width="20" style="21" bestFit="1" customWidth="1"/>
    <col min="9" max="9" width="3.5703125" style="21" customWidth="1"/>
    <col min="10" max="11" width="3.28515625" style="19" customWidth="1"/>
    <col min="12" max="12" width="3.5703125" style="21" customWidth="1"/>
    <col min="13" max="13" width="18" style="22" bestFit="1" customWidth="1"/>
    <col min="14" max="14" width="1.7109375" style="22" customWidth="1"/>
    <col min="15" max="16" width="3.28515625" style="22" customWidth="1"/>
    <col min="17" max="17" width="35.7109375" style="19" bestFit="1" customWidth="1"/>
    <col min="18" max="18" width="0.85546875" style="59" customWidth="1"/>
    <col min="19" max="19" width="2.7109375" style="19" customWidth="1"/>
    <col min="20" max="20" width="15.5703125" style="19" customWidth="1"/>
    <col min="21" max="21" width="2.5703125" style="19" customWidth="1"/>
    <col min="22" max="27" width="2.5703125" style="96" customWidth="1"/>
    <col min="28" max="28" width="3.5703125" style="96" customWidth="1"/>
    <col min="29" max="30" width="0.85546875" style="67" customWidth="1"/>
    <col min="31" max="31" width="1.5703125" style="59" customWidth="1"/>
    <col min="32" max="32" width="2.5703125" style="97" customWidth="1"/>
    <col min="33" max="33" width="14.140625" style="97" customWidth="1"/>
    <col min="34" max="34" width="1.140625" style="97" customWidth="1"/>
    <col min="35" max="35" width="5.7109375" style="97" customWidth="1"/>
    <col min="36" max="38" width="9.140625" style="97" customWidth="1"/>
    <col min="39" max="97" width="9.140625" style="59" customWidth="1"/>
    <col min="98" max="101" width="9.140625" style="63" customWidth="1"/>
    <col min="102" max="16384" width="9.140625" style="59"/>
  </cols>
  <sheetData>
    <row r="1" spans="2:101" ht="5.0999999999999996" customHeight="1" x14ac:dyDescent="0.25">
      <c r="B1" s="59"/>
      <c r="C1" s="59"/>
      <c r="D1" s="108"/>
      <c r="E1" s="108"/>
      <c r="F1" s="108"/>
      <c r="G1" s="108"/>
      <c r="H1" s="65"/>
      <c r="I1" s="65"/>
      <c r="J1" s="59"/>
      <c r="K1" s="59"/>
      <c r="L1" s="65"/>
      <c r="M1" s="66"/>
      <c r="N1" s="66"/>
      <c r="O1" s="66"/>
      <c r="P1" s="66"/>
      <c r="Q1" s="59"/>
      <c r="S1" s="59"/>
      <c r="T1" s="59"/>
      <c r="U1" s="59"/>
      <c r="V1" s="63"/>
      <c r="W1" s="63"/>
      <c r="X1" s="63"/>
      <c r="Y1" s="63"/>
      <c r="Z1" s="63"/>
      <c r="AA1" s="63"/>
      <c r="AB1" s="63"/>
    </row>
    <row r="2" spans="2:101" s="98" customFormat="1" ht="30" customHeight="1" x14ac:dyDescent="0.2">
      <c r="B2" s="260" t="str">
        <f>UPPER(INDEX(Translation,MATCH("World Cup 2026 Fixtures",TransRef,0),MATCH(Setup!C5,LanguageRef,0)))</f>
        <v>WORLD CUP 2026 FIXTURES</v>
      </c>
      <c r="C2" s="260"/>
      <c r="D2" s="260"/>
      <c r="E2" s="260"/>
      <c r="F2" s="260"/>
      <c r="G2" s="260"/>
      <c r="H2" s="260"/>
      <c r="I2" s="260"/>
      <c r="J2" s="260"/>
      <c r="K2" s="260"/>
      <c r="L2" s="260"/>
      <c r="M2" s="260"/>
      <c r="N2" s="260"/>
      <c r="O2" s="260"/>
      <c r="P2" s="260"/>
      <c r="Q2" s="109" t="str">
        <f>IF(TimeZoneData&lt;&gt;0,IF(Setup!D6&lt;&gt;"",Setup!D6&amp;" TIME",""),"NEW YORK TIME ")</f>
        <v xml:space="preserve">NEW YORK TIME </v>
      </c>
      <c r="R2" s="110"/>
      <c r="S2" s="271" t="s">
        <v>1168</v>
      </c>
      <c r="T2" s="271"/>
      <c r="U2" s="271"/>
      <c r="V2" s="271"/>
      <c r="W2" s="271"/>
      <c r="X2" s="271"/>
      <c r="Y2" s="271"/>
      <c r="Z2" s="271"/>
      <c r="AA2" s="271"/>
      <c r="AB2" s="271"/>
    </row>
    <row r="3" spans="2:101" s="98" customFormat="1" ht="15" customHeight="1" thickBot="1" x14ac:dyDescent="0.3">
      <c r="B3" s="55" t="str">
        <f>INDEX(Translation,MATCH("Match #",TransRef,0),MATCH(Setup!C5,LanguageRef,0))</f>
        <v>Match #</v>
      </c>
      <c r="C3" s="56"/>
      <c r="D3" s="56" t="str">
        <f>INDEX(Translation,MATCH("Time",TransRef,0),MATCH(Setup!C5,LanguageRef,0))</f>
        <v>Time</v>
      </c>
      <c r="E3" s="56"/>
      <c r="F3" s="56"/>
      <c r="G3" s="56"/>
      <c r="H3" s="57" t="str">
        <f>INDEX(Translation,MATCH("Country",TransRef,0),MATCH(Setup!C5,LanguageRef,0))</f>
        <v>Country</v>
      </c>
      <c r="I3" s="57"/>
      <c r="J3" s="261" t="str">
        <f>INDEX(Translation,MATCH("Score",TransRef,0),MATCH(Setup!C5,LanguageRef,0))</f>
        <v>Score</v>
      </c>
      <c r="K3" s="261"/>
      <c r="L3" s="57"/>
      <c r="M3" s="58" t="str">
        <f>INDEX(Translation,MATCH("Country",TransRef,0),MATCH(Setup!C5,LanguageRef,0))</f>
        <v>Country</v>
      </c>
      <c r="N3" s="58"/>
      <c r="O3" s="58"/>
      <c r="P3" s="58"/>
      <c r="Q3" s="58" t="str">
        <f>INDEX(Translation,MATCH("Venue",TransRef,0),MATCH(Setup!C5,LanguageRef,0))</f>
        <v>Venue</v>
      </c>
      <c r="S3" s="259" t="str">
        <f>INDEX(Language!$A$1:$H$172,MATCH("Standings",Language!$B$1:$B$182,0),MATCH(Setup!C5,Language!$A$1:$G$1,0))</f>
        <v>Standings</v>
      </c>
      <c r="T3" s="259"/>
      <c r="U3" s="259"/>
      <c r="V3" s="259"/>
      <c r="W3" s="259"/>
      <c r="X3" s="259"/>
      <c r="Y3" s="259"/>
      <c r="Z3" s="259"/>
      <c r="AA3" s="259"/>
      <c r="AB3" s="259"/>
      <c r="AC3" s="64"/>
      <c r="AD3" s="64"/>
      <c r="AF3" s="99" t="s">
        <v>79</v>
      </c>
      <c r="CV3" s="97"/>
    </row>
    <row r="4" spans="2:101" s="60" customFormat="1" ht="13.5" customHeight="1" thickTop="1" x14ac:dyDescent="0.25">
      <c r="B4" s="165">
        <v>1</v>
      </c>
      <c r="C4" s="169" t="s">
        <v>72</v>
      </c>
      <c r="D4" s="170">
        <f>Calculator!EB7</f>
        <v>46184.625</v>
      </c>
      <c r="E4" s="171"/>
      <c r="F4" s="171"/>
      <c r="G4" s="171"/>
      <c r="H4" s="172" t="str">
        <f>INDEX(Language!$A$1:$K$177,MATCH(Setup!B8,Language!$B$1:$B$177,0),MATCH(Setup!$C$5,Language!$A$1:$J$1,0))</f>
        <v>Mexico</v>
      </c>
      <c r="I4" s="172"/>
      <c r="J4" s="173"/>
      <c r="K4" s="173"/>
      <c r="L4" s="172"/>
      <c r="M4" s="174" t="str">
        <f>INDEX(Language!$A$1:$K$177,MATCH(Setup!B9,Language!$B$1:$B$177,0),MATCH(Setup!$C$5,Language!$A$1:$J$1,0))</f>
        <v>South Africa</v>
      </c>
      <c r="N4" s="174"/>
      <c r="O4" s="174"/>
      <c r="P4" s="174"/>
      <c r="Q4" s="175" t="s">
        <v>519</v>
      </c>
      <c r="S4" s="127" t="str">
        <f>INDEX(Language!$A$1:$K$177,MATCH("Group A",Language!$B$1:$B$177,0),MATCH(Setup!$C$5,Language!$A$1:$J$1,0))</f>
        <v>Group A</v>
      </c>
      <c r="T4" s="128"/>
      <c r="U4" s="128"/>
      <c r="V4" s="129" t="s">
        <v>67</v>
      </c>
      <c r="W4" s="129" t="s">
        <v>68</v>
      </c>
      <c r="X4" s="129" t="s">
        <v>69</v>
      </c>
      <c r="Y4" s="129" t="s">
        <v>70</v>
      </c>
      <c r="Z4" s="129" t="s">
        <v>75</v>
      </c>
      <c r="AA4" s="129" t="s">
        <v>72</v>
      </c>
      <c r="AB4" s="130" t="s">
        <v>71</v>
      </c>
      <c r="AC4" s="64"/>
      <c r="AD4" s="64"/>
      <c r="AF4" s="98" t="s">
        <v>462</v>
      </c>
      <c r="AG4" s="98"/>
      <c r="AH4" s="98"/>
      <c r="AI4" s="98"/>
      <c r="AJ4" s="98"/>
      <c r="AK4" s="100"/>
      <c r="AL4" s="98"/>
      <c r="CT4" s="101"/>
      <c r="CU4" s="101"/>
      <c r="CV4" s="63"/>
      <c r="CW4" s="101"/>
    </row>
    <row r="5" spans="2:101" s="60" customFormat="1" ht="13.5" customHeight="1" x14ac:dyDescent="0.25">
      <c r="B5" s="166">
        <v>2</v>
      </c>
      <c r="C5" s="176" t="s">
        <v>72</v>
      </c>
      <c r="D5" s="177">
        <f>Calculator!EB8</f>
        <v>46184.916666666664</v>
      </c>
      <c r="E5" s="178"/>
      <c r="F5" s="178"/>
      <c r="G5" s="178"/>
      <c r="H5" s="179" t="str">
        <f>INDEX(Language!$A$1:$K$177,MATCH(Setup!B10,Language!$B$1:$B$177,0),MATCH(Setup!$C$5,Language!$A$1:$J$1,0))</f>
        <v>Korea Republic</v>
      </c>
      <c r="I5" s="179"/>
      <c r="J5" s="173"/>
      <c r="K5" s="173"/>
      <c r="L5" s="179"/>
      <c r="M5" s="180" t="str">
        <f>INDEX(Language!$A$1:$K$177,MATCH(Setup!B11,Language!$B$1:$B$177,0),MATCH(Setup!$C$5,Language!$A$1:$J$1,0))</f>
        <v>Czechia</v>
      </c>
      <c r="N5" s="180"/>
      <c r="O5" s="180"/>
      <c r="P5" s="180"/>
      <c r="Q5" s="181" t="s">
        <v>520</v>
      </c>
      <c r="S5" s="115">
        <v>1</v>
      </c>
      <c r="T5" s="116" t="str">
        <f>INDEX(Calculator!C$4:C$7,MATCH($S5,Calculator!$B$4:$B$7,0),0)</f>
        <v>Mexico</v>
      </c>
      <c r="U5" s="116"/>
      <c r="V5" s="117">
        <f>SUM(W5:Y5)</f>
        <v>0</v>
      </c>
      <c r="W5" s="117">
        <f>INDEX(Calculator!D$4:D$7,MATCH($S5,Calculator!$B$4:$B$7,0),0)</f>
        <v>0</v>
      </c>
      <c r="X5" s="117">
        <f>INDEX(Calculator!E$4:E$7,MATCH($S5,Calculator!$B$4:$B$7,0),0)</f>
        <v>0</v>
      </c>
      <c r="Y5" s="117">
        <f>INDEX(Calculator!F$4:F$7,MATCH($S5,Calculator!$B$4:$B$7,0),0)</f>
        <v>0</v>
      </c>
      <c r="Z5" s="117">
        <f>INDEX(Calculator!G$4:G$7,MATCH($S5,Calculator!$B$4:$B$7,0),0)</f>
        <v>0</v>
      </c>
      <c r="AA5" s="117">
        <f>INDEX(Calculator!H$4:H$7,MATCH($S5,Calculator!$B$4:$B$7,0),0)</f>
        <v>0</v>
      </c>
      <c r="AB5" s="118">
        <f>INDEX(Calculator!J$4:J$7,MATCH($S5,Calculator!$B$4:$B$7,0),0)</f>
        <v>0</v>
      </c>
      <c r="AC5" s="64"/>
      <c r="AD5" s="64"/>
      <c r="AF5" s="102"/>
      <c r="AG5" s="98"/>
      <c r="AH5" s="98"/>
      <c r="AI5" s="98"/>
      <c r="AJ5" s="103"/>
      <c r="AK5" s="100"/>
      <c r="AL5" s="98"/>
      <c r="CT5" s="101"/>
      <c r="CU5" s="101"/>
      <c r="CV5" s="63"/>
      <c r="CW5" s="101"/>
    </row>
    <row r="6" spans="2:101" s="60" customFormat="1" ht="13.5" customHeight="1" x14ac:dyDescent="0.25">
      <c r="B6" s="166">
        <v>3</v>
      </c>
      <c r="C6" s="169" t="s">
        <v>73</v>
      </c>
      <c r="D6" s="170">
        <f>Calculator!EB9</f>
        <v>46185.625</v>
      </c>
      <c r="E6" s="171"/>
      <c r="F6" s="171"/>
      <c r="G6" s="171"/>
      <c r="H6" s="172" t="str">
        <f>INDEX(Language!$A$1:$K$177,MATCH(Setup!B12,Language!$B$1:$B$177,0),MATCH(Setup!$C$5,Language!$A$1:$J$1,0))</f>
        <v>Canada</v>
      </c>
      <c r="I6" s="172"/>
      <c r="J6" s="173"/>
      <c r="K6" s="173"/>
      <c r="L6" s="172"/>
      <c r="M6" s="174" t="str">
        <f>INDEX(Language!$A$1:$K$177,MATCH(Setup!B13,Language!$B$1:$B$177,0),MATCH(Setup!$C$5,Language!$A$1:$J$1,0))</f>
        <v>Bosnia and Herzegovina</v>
      </c>
      <c r="N6" s="174"/>
      <c r="O6" s="174"/>
      <c r="P6" s="174"/>
      <c r="Q6" s="175" t="s">
        <v>521</v>
      </c>
      <c r="S6" s="119">
        <v>2</v>
      </c>
      <c r="T6" s="81" t="str">
        <f>INDEX(Calculator!C$4:C$7,MATCH($S6,Calculator!$B$4:$B$7,0),0)</f>
        <v>Korea Republic</v>
      </c>
      <c r="U6" s="81"/>
      <c r="V6" s="68">
        <f t="shared" ref="V6:V8" si="0">SUM(W6:Y6)</f>
        <v>0</v>
      </c>
      <c r="W6" s="68">
        <f>INDEX(Calculator!D$4:D$7,MATCH($S6,Calculator!$B$4:$B$7,0),0)</f>
        <v>0</v>
      </c>
      <c r="X6" s="68">
        <f>INDEX(Calculator!E$4:E$7,MATCH($S6,Calculator!$B$4:$B$7,0),0)</f>
        <v>0</v>
      </c>
      <c r="Y6" s="68">
        <f>INDEX(Calculator!F$4:F$7,MATCH($S6,Calculator!$B$4:$B$7,0),0)</f>
        <v>0</v>
      </c>
      <c r="Z6" s="68">
        <f>INDEX(Calculator!G$4:G$7,MATCH($S6,Calculator!$B$4:$B$7,0),0)</f>
        <v>0</v>
      </c>
      <c r="AA6" s="68">
        <f>INDEX(Calculator!H$4:H$7,MATCH($S6,Calculator!$B$4:$B$7,0),0)</f>
        <v>0</v>
      </c>
      <c r="AB6" s="120">
        <f>INDEX(Calculator!J$4:J$7,MATCH($S6,Calculator!$B$4:$B$7,0),0)</f>
        <v>0</v>
      </c>
      <c r="AC6" s="64"/>
      <c r="AD6" s="64"/>
      <c r="AF6" s="98"/>
      <c r="AG6" s="98"/>
      <c r="AH6" s="98"/>
      <c r="AI6" s="98"/>
      <c r="AJ6" s="98"/>
      <c r="AK6" s="98"/>
      <c r="AL6" s="98"/>
      <c r="CT6" s="101"/>
      <c r="CU6" s="101"/>
      <c r="CV6" s="63"/>
      <c r="CW6" s="101"/>
    </row>
    <row r="7" spans="2:101" s="60" customFormat="1" ht="13.5" customHeight="1" x14ac:dyDescent="0.25">
      <c r="B7" s="166">
        <v>4</v>
      </c>
      <c r="C7" s="176" t="s">
        <v>69</v>
      </c>
      <c r="D7" s="177">
        <f>Calculator!EB10</f>
        <v>46185.875</v>
      </c>
      <c r="E7" s="178"/>
      <c r="F7" s="178"/>
      <c r="G7" s="178"/>
      <c r="H7" s="179" t="str">
        <f>INDEX(Language!$A$1:$K$177,MATCH(Setup!B20,Language!$B$1:$B$177,0),MATCH(Setup!$C$5,Language!$A$1:$J$1,0))</f>
        <v>USA</v>
      </c>
      <c r="I7" s="179"/>
      <c r="J7" s="173"/>
      <c r="K7" s="173"/>
      <c r="L7" s="179"/>
      <c r="M7" s="180" t="str">
        <f>INDEX(Language!$A$1:$K$177,MATCH(Setup!B21,Language!$B$1:$B$177,0),MATCH(Setup!$C$5,Language!$A$1:$J$1,0))</f>
        <v>Paraguay</v>
      </c>
      <c r="N7" s="180"/>
      <c r="O7" s="180"/>
      <c r="P7" s="180"/>
      <c r="Q7" s="181" t="s">
        <v>522</v>
      </c>
      <c r="S7" s="121">
        <v>3</v>
      </c>
      <c r="T7" s="82" t="str">
        <f>INDEX(Calculator!C$4:C$7,MATCH($S7,Calculator!$B$4:$B$7,0),0)</f>
        <v>Czechia</v>
      </c>
      <c r="U7" s="82"/>
      <c r="V7" s="69">
        <f t="shared" si="0"/>
        <v>0</v>
      </c>
      <c r="W7" s="69">
        <f>INDEX(Calculator!D$4:D$7,MATCH($S7,Calculator!$B$4:$B$7,0),0)</f>
        <v>0</v>
      </c>
      <c r="X7" s="69">
        <f>INDEX(Calculator!E$4:E$7,MATCH($S7,Calculator!$B$4:$B$7,0),0)</f>
        <v>0</v>
      </c>
      <c r="Y7" s="69">
        <f>INDEX(Calculator!F$4:F$7,MATCH($S7,Calculator!$B$4:$B$7,0),0)</f>
        <v>0</v>
      </c>
      <c r="Z7" s="83">
        <f>INDEX(Calculator!G$4:G$7,MATCH($S7,Calculator!$B$4:$B$7,0),0)</f>
        <v>0</v>
      </c>
      <c r="AA7" s="83">
        <f>INDEX(Calculator!H$4:H$7,MATCH($S7,Calculator!$B$4:$B$7,0),0)</f>
        <v>0</v>
      </c>
      <c r="AB7" s="122">
        <f>INDEX(Calculator!J$4:J$7,MATCH($S7,Calculator!$B$4:$B$7,0),0)</f>
        <v>0</v>
      </c>
      <c r="AC7" s="64"/>
      <c r="AD7" s="64"/>
      <c r="AF7" s="104" t="s">
        <v>80</v>
      </c>
      <c r="AG7" s="98" t="s">
        <v>463</v>
      </c>
      <c r="AH7" s="105"/>
      <c r="AI7" s="98"/>
      <c r="AJ7" s="100"/>
      <c r="AK7" s="100"/>
      <c r="AL7" s="98"/>
      <c r="CT7" s="101"/>
      <c r="CU7" s="101"/>
      <c r="CV7" s="63"/>
      <c r="CW7" s="101"/>
    </row>
    <row r="8" spans="2:101" s="60" customFormat="1" ht="13.5" customHeight="1" x14ac:dyDescent="0.25">
      <c r="B8" s="166">
        <v>5</v>
      </c>
      <c r="C8" s="169" t="s">
        <v>74</v>
      </c>
      <c r="D8" s="170">
        <f>Calculator!EB11</f>
        <v>46186.875</v>
      </c>
      <c r="E8" s="171"/>
      <c r="F8" s="171"/>
      <c r="G8" s="171"/>
      <c r="H8" s="172" t="str">
        <f>INDEX(Language!$A$1:$K$177,MATCH(Setup!B18,Language!$B$1:$B$177,0),MATCH(Setup!$C$5,Language!$A$1:$J$1,0))</f>
        <v>Haiti</v>
      </c>
      <c r="I8" s="172"/>
      <c r="J8" s="173"/>
      <c r="K8" s="173"/>
      <c r="L8" s="172"/>
      <c r="M8" s="174" t="str">
        <f>INDEX(Language!$A$1:$K$177,MATCH(Setup!B19,Language!$B$1:$B$177,0),MATCH(Setup!$C$5,Language!$A$1:$J$1,0))</f>
        <v>Scotland</v>
      </c>
      <c r="N8" s="174"/>
      <c r="O8" s="174"/>
      <c r="P8" s="174"/>
      <c r="Q8" s="175" t="s">
        <v>523</v>
      </c>
      <c r="S8" s="121">
        <v>4</v>
      </c>
      <c r="T8" s="82" t="str">
        <f>INDEX(Calculator!C$4:C$7,MATCH($S8,Calculator!$B$4:$B$7,0),0)</f>
        <v>South Africa</v>
      </c>
      <c r="U8" s="82"/>
      <c r="V8" s="69">
        <f t="shared" si="0"/>
        <v>0</v>
      </c>
      <c r="W8" s="69">
        <f>INDEX(Calculator!D$4:D$7,MATCH($S8,Calculator!$B$4:$B$7,0),0)</f>
        <v>0</v>
      </c>
      <c r="X8" s="69">
        <f>INDEX(Calculator!E$4:E$7,MATCH($S8,Calculator!$B$4:$B$7,0),0)</f>
        <v>0</v>
      </c>
      <c r="Y8" s="69">
        <f>INDEX(Calculator!F$4:F$7,MATCH($S8,Calculator!$B$4:$B$7,0),0)</f>
        <v>0</v>
      </c>
      <c r="Z8" s="83">
        <f>INDEX(Calculator!G$4:G$7,MATCH($S8,Calculator!$B$4:$B$7,0),0)</f>
        <v>0</v>
      </c>
      <c r="AA8" s="83">
        <f>INDEX(Calculator!H$4:H$7,MATCH($S8,Calculator!$B$4:$B$7,0),0)</f>
        <v>0</v>
      </c>
      <c r="AB8" s="122">
        <f>INDEX(Calculator!J$4:J$7,MATCH($S8,Calculator!$B$4:$B$7,0),0)</f>
        <v>0</v>
      </c>
      <c r="AC8" s="64"/>
      <c r="AD8" s="64"/>
      <c r="AF8" s="104" t="s">
        <v>80</v>
      </c>
      <c r="AG8" s="98" t="s">
        <v>464</v>
      </c>
      <c r="AH8" s="105"/>
      <c r="AI8" s="98"/>
      <c r="AJ8" s="100"/>
      <c r="AK8" s="100"/>
      <c r="AL8" s="98"/>
      <c r="CT8" s="101"/>
      <c r="CU8" s="101"/>
      <c r="CV8" s="63"/>
      <c r="CW8" s="101"/>
    </row>
    <row r="9" spans="2:101" s="60" customFormat="1" ht="13.5" customHeight="1" x14ac:dyDescent="0.25">
      <c r="B9" s="166">
        <v>6</v>
      </c>
      <c r="C9" s="176" t="s">
        <v>69</v>
      </c>
      <c r="D9" s="177">
        <f>Calculator!EB12</f>
        <v>46187</v>
      </c>
      <c r="E9" s="178"/>
      <c r="F9" s="178"/>
      <c r="G9" s="178"/>
      <c r="H9" s="179" t="str">
        <f>INDEX(Language!$A$1:$K$177,MATCH(Setup!B22,Language!$B$1:$B$177,0),MATCH(Setup!$C$5,Language!$A$1:$J$1,0))</f>
        <v>Australia</v>
      </c>
      <c r="I9" s="179"/>
      <c r="J9" s="173"/>
      <c r="K9" s="173"/>
      <c r="L9" s="179"/>
      <c r="M9" s="180" t="str">
        <f>INDEX(Language!$A$1:$K$177,MATCH(Setup!B23,Language!$B$1:$B$177,0),MATCH(Setup!$C$5,Language!$A$1:$J$1,0))</f>
        <v>Türkiye</v>
      </c>
      <c r="N9" s="180"/>
      <c r="O9" s="180"/>
      <c r="P9" s="180"/>
      <c r="Q9" s="181" t="s">
        <v>524</v>
      </c>
      <c r="S9" s="123"/>
      <c r="T9" s="124"/>
      <c r="U9" s="124"/>
      <c r="V9" s="125"/>
      <c r="W9" s="125"/>
      <c r="X9" s="125"/>
      <c r="Y9" s="125"/>
      <c r="Z9" s="125"/>
      <c r="AA9" s="125"/>
      <c r="AB9" s="126"/>
      <c r="AC9" s="64"/>
      <c r="AD9" s="64"/>
      <c r="AF9" s="104" t="s">
        <v>80</v>
      </c>
      <c r="AG9" s="98" t="s">
        <v>465</v>
      </c>
      <c r="AH9" s="105"/>
      <c r="AI9" s="98"/>
      <c r="AJ9" s="100"/>
      <c r="AK9" s="100"/>
      <c r="AL9" s="98"/>
      <c r="CT9" s="101"/>
      <c r="CU9" s="101"/>
      <c r="CV9" s="63"/>
      <c r="CW9" s="101"/>
    </row>
    <row r="10" spans="2:101" s="60" customFormat="1" ht="13.5" customHeight="1" x14ac:dyDescent="0.25">
      <c r="B10" s="166">
        <v>7</v>
      </c>
      <c r="C10" s="169" t="s">
        <v>74</v>
      </c>
      <c r="D10" s="170">
        <f>Calculator!EB13</f>
        <v>46186.75</v>
      </c>
      <c r="E10" s="171"/>
      <c r="F10" s="171"/>
      <c r="G10" s="171"/>
      <c r="H10" s="172" t="str">
        <f>INDEX(Language!$A$1:$K$177,MATCH(Setup!B16,Language!$B$1:$B$177,0),MATCH(Setup!$C$5,Language!$A$1:$J$1,0))</f>
        <v>Brazil</v>
      </c>
      <c r="I10" s="172"/>
      <c r="J10" s="173"/>
      <c r="K10" s="173"/>
      <c r="L10" s="172"/>
      <c r="M10" s="174" t="str">
        <f>INDEX(Language!$A$1:$K$177,MATCH(Setup!B17,Language!$B$1:$B$177,0),MATCH(Setup!$C$5,Language!$A$1:$J$1,0))</f>
        <v>Morocco</v>
      </c>
      <c r="N10" s="174"/>
      <c r="O10" s="174"/>
      <c r="P10" s="174"/>
      <c r="Q10" s="175" t="s">
        <v>525</v>
      </c>
      <c r="S10" s="131" t="str">
        <f>INDEX(Language!$A$1:$K$177,MATCH("Group B",Language!$B$1:$B$177,0),MATCH(Setup!$C$5,Language!$A$1:$J$1,0))</f>
        <v>Group B</v>
      </c>
      <c r="T10" s="114"/>
      <c r="U10" s="114"/>
      <c r="V10" s="113" t="s">
        <v>67</v>
      </c>
      <c r="W10" s="113" t="s">
        <v>68</v>
      </c>
      <c r="X10" s="113" t="s">
        <v>69</v>
      </c>
      <c r="Y10" s="113" t="s">
        <v>70</v>
      </c>
      <c r="Z10" s="113" t="s">
        <v>75</v>
      </c>
      <c r="AA10" s="113" t="s">
        <v>72</v>
      </c>
      <c r="AB10" s="132" t="s">
        <v>71</v>
      </c>
      <c r="AC10" s="64"/>
      <c r="AD10" s="64"/>
      <c r="AF10" s="104" t="s">
        <v>80</v>
      </c>
      <c r="AG10" s="98" t="s">
        <v>81</v>
      </c>
      <c r="AH10" s="105"/>
      <c r="AI10" s="98"/>
      <c r="AJ10" s="100"/>
      <c r="AK10" s="106"/>
      <c r="AL10" s="98"/>
      <c r="CT10" s="101"/>
      <c r="CU10" s="101"/>
      <c r="CV10" s="63"/>
      <c r="CW10" s="101"/>
    </row>
    <row r="11" spans="2:101" s="60" customFormat="1" ht="13.5" customHeight="1" x14ac:dyDescent="0.25">
      <c r="B11" s="166">
        <v>8</v>
      </c>
      <c r="C11" s="176" t="s">
        <v>73</v>
      </c>
      <c r="D11" s="177">
        <f>Calculator!EB14</f>
        <v>46186.625</v>
      </c>
      <c r="E11" s="178"/>
      <c r="F11" s="178"/>
      <c r="G11" s="178"/>
      <c r="H11" s="179" t="str">
        <f>INDEX(Language!$A$1:$K$177,MATCH(Setup!B14,Language!$B$1:$B$177,0),MATCH(Setup!$C$5,Language!$A$1:$J$1,0))</f>
        <v>Qatar</v>
      </c>
      <c r="I11" s="179"/>
      <c r="J11" s="173"/>
      <c r="K11" s="173"/>
      <c r="L11" s="179"/>
      <c r="M11" s="180" t="str">
        <f>INDEX(Language!$A$1:$K$177,MATCH(Setup!B15,Language!$B$1:$B$177,0),MATCH(Setup!$C$5,Language!$A$1:$J$1,0))</f>
        <v>Switzerland</v>
      </c>
      <c r="N11" s="180"/>
      <c r="O11" s="180"/>
      <c r="P11" s="180"/>
      <c r="Q11" s="181" t="s">
        <v>526</v>
      </c>
      <c r="S11" s="133">
        <v>1</v>
      </c>
      <c r="T11" s="85" t="str">
        <f>INDEX(Calculator!C$11:C$14,MATCH($S11,Calculator!$B$11:$B$14,0),0)</f>
        <v>Switzerland</v>
      </c>
      <c r="U11" s="85"/>
      <c r="V11" s="70">
        <f>SUM(W11:Y11)</f>
        <v>0</v>
      </c>
      <c r="W11" s="70">
        <f>INDEX(Calculator!D$11:D$14,MATCH($S11,Calculator!$B$11:$B$14,0),0)</f>
        <v>0</v>
      </c>
      <c r="X11" s="70">
        <f>INDEX(Calculator!E$11:E$14,MATCH($S11,Calculator!$B$11:$B$14,0),0)</f>
        <v>0</v>
      </c>
      <c r="Y11" s="70">
        <f>INDEX(Calculator!F$11:F$14,MATCH($S11,Calculator!$B$11:$B$14,0),0)</f>
        <v>0</v>
      </c>
      <c r="Z11" s="70">
        <f>INDEX(Calculator!G$11:G$14,MATCH($S11,Calculator!$B$11:$B$14,0),0)</f>
        <v>0</v>
      </c>
      <c r="AA11" s="70">
        <f>INDEX(Calculator!H$11:H$14,MATCH($S11,Calculator!$B$11:$B$14,0),0)</f>
        <v>0</v>
      </c>
      <c r="AB11" s="134">
        <f>INDEX(Calculator!J$11:J$14,MATCH($S11,Calculator!$B$11:$B$14,0),0)</f>
        <v>0</v>
      </c>
      <c r="AC11" s="64"/>
      <c r="AD11" s="64"/>
      <c r="AF11" s="98" t="s">
        <v>82</v>
      </c>
      <c r="AG11" s="98"/>
      <c r="AH11" s="105"/>
      <c r="AI11" s="98"/>
      <c r="AJ11" s="106"/>
      <c r="AK11" s="106"/>
      <c r="AL11" s="98"/>
      <c r="CT11" s="101"/>
      <c r="CU11" s="101"/>
      <c r="CV11" s="63"/>
      <c r="CW11" s="101"/>
    </row>
    <row r="12" spans="2:101" s="60" customFormat="1" ht="13.5" customHeight="1" x14ac:dyDescent="0.25">
      <c r="B12" s="166">
        <v>9</v>
      </c>
      <c r="C12" s="169" t="s">
        <v>76</v>
      </c>
      <c r="D12" s="170">
        <f>Calculator!EB15</f>
        <v>46187.791666666664</v>
      </c>
      <c r="E12" s="171"/>
      <c r="F12" s="171"/>
      <c r="G12" s="171"/>
      <c r="H12" s="172" t="str">
        <f>INDEX(Language!$A$1:$K$177,MATCH(Setup!B26,Language!$B$1:$B$177,0),MATCH(Setup!$C$5,Language!$A$1:$J$1,0))</f>
        <v>Cote D'Voire</v>
      </c>
      <c r="I12" s="172"/>
      <c r="J12" s="173"/>
      <c r="K12" s="173"/>
      <c r="L12" s="172"/>
      <c r="M12" s="174" t="str">
        <f>INDEX(Language!$A$1:$K$177,MATCH(Setup!B27,Language!$B$1:$B$177,0),MATCH(Setup!$C$5,Language!$A$1:$J$1,0))</f>
        <v>Ecuador</v>
      </c>
      <c r="N12" s="174"/>
      <c r="O12" s="174"/>
      <c r="P12" s="174"/>
      <c r="Q12" s="175" t="s">
        <v>527</v>
      </c>
      <c r="S12" s="133">
        <v>2</v>
      </c>
      <c r="T12" s="85" t="str">
        <f>INDEX(Calculator!C$11:C$14,MATCH($S12,Calculator!$B$11:$B$14,0),0)</f>
        <v>Canada</v>
      </c>
      <c r="U12" s="85"/>
      <c r="V12" s="70">
        <f t="shared" ref="V12:V14" si="1">SUM(W12:Y12)</f>
        <v>0</v>
      </c>
      <c r="W12" s="70">
        <f>INDEX(Calculator!D$11:D$14,MATCH($S12,Calculator!$B$11:$B$14,0),0)</f>
        <v>0</v>
      </c>
      <c r="X12" s="70">
        <f>INDEX(Calculator!E$11:E$14,MATCH($S12,Calculator!$B$11:$B$14,0),0)</f>
        <v>0</v>
      </c>
      <c r="Y12" s="70">
        <f>INDEX(Calculator!F$11:F$14,MATCH($S12,Calculator!$B$11:$B$14,0),0)</f>
        <v>0</v>
      </c>
      <c r="Z12" s="70">
        <f>INDEX(Calculator!G$11:G$14,MATCH($S12,Calculator!$B$11:$B$14,0),0)</f>
        <v>0</v>
      </c>
      <c r="AA12" s="70">
        <f>INDEX(Calculator!H$11:H$14,MATCH($S12,Calculator!$B$11:$B$14,0),0)</f>
        <v>0</v>
      </c>
      <c r="AB12" s="134">
        <f>INDEX(Calculator!J$11:J$14,MATCH($S12,Calculator!$B$11:$B$14,0),0)</f>
        <v>0</v>
      </c>
      <c r="AC12" s="64"/>
      <c r="AD12" s="64"/>
      <c r="AF12" s="98"/>
      <c r="AG12" s="20" t="s">
        <v>83</v>
      </c>
      <c r="AH12" s="107"/>
      <c r="AI12" s="97" t="s">
        <v>395</v>
      </c>
      <c r="AJ12" s="106"/>
      <c r="AK12" s="106"/>
      <c r="AL12" s="98"/>
      <c r="CT12" s="101"/>
      <c r="CU12" s="101"/>
      <c r="CV12" s="63"/>
      <c r="CW12" s="101"/>
    </row>
    <row r="13" spans="2:101" s="60" customFormat="1" ht="13.5" customHeight="1" x14ac:dyDescent="0.25">
      <c r="B13" s="166">
        <v>10</v>
      </c>
      <c r="C13" s="176" t="s">
        <v>76</v>
      </c>
      <c r="D13" s="177">
        <f>Calculator!EB16</f>
        <v>46187.541666666664</v>
      </c>
      <c r="E13" s="178"/>
      <c r="F13" s="178"/>
      <c r="G13" s="178"/>
      <c r="H13" s="179" t="str">
        <f>INDEX(Language!$A$1:$K$177,MATCH(Setup!B24,Language!$B$1:$B$177,0),MATCH(Setup!$C$5,Language!$A$1:$J$1,0))</f>
        <v>Germany</v>
      </c>
      <c r="I13" s="179"/>
      <c r="J13" s="173"/>
      <c r="K13" s="173"/>
      <c r="L13" s="179"/>
      <c r="M13" s="180" t="str">
        <f>INDEX(Language!$A$1:$K$177,MATCH(Setup!B25,Language!$B$1:$B$177,0),MATCH(Setup!$C$5,Language!$A$1:$J$1,0))</f>
        <v>Curacao</v>
      </c>
      <c r="N13" s="180"/>
      <c r="O13" s="180"/>
      <c r="P13" s="180"/>
      <c r="Q13" s="181" t="s">
        <v>528</v>
      </c>
      <c r="S13" s="121">
        <v>3</v>
      </c>
      <c r="T13" s="82" t="str">
        <f>INDEX(Calculator!C$11:C$14,MATCH($S13,Calculator!$B$11:$B$14,0),0)</f>
        <v>Qatar</v>
      </c>
      <c r="U13" s="82"/>
      <c r="V13" s="69">
        <f t="shared" si="1"/>
        <v>0</v>
      </c>
      <c r="W13" s="69">
        <f>INDEX(Calculator!D$11:D$14,MATCH($S13,Calculator!$B$11:$B$14,0),0)</f>
        <v>0</v>
      </c>
      <c r="X13" s="69">
        <f>INDEX(Calculator!E$11:E$14,MATCH($S13,Calculator!$B$11:$B$14,0),0)</f>
        <v>0</v>
      </c>
      <c r="Y13" s="69">
        <f>INDEX(Calculator!F$11:F$14,MATCH($S13,Calculator!$B$11:$B$14,0),0)</f>
        <v>0</v>
      </c>
      <c r="Z13" s="83">
        <f>INDEX(Calculator!G$11:G$14,MATCH($S13,Calculator!$B$11:$B$14,0),0)</f>
        <v>0</v>
      </c>
      <c r="AA13" s="83">
        <f>INDEX(Calculator!H$11:H$14,MATCH($S13,Calculator!$B$11:$B$14,0),0)</f>
        <v>0</v>
      </c>
      <c r="AB13" s="122">
        <f>INDEX(Calculator!J$11:J$14,MATCH($S13,Calculator!$B$11:$B$14,0),0)</f>
        <v>0</v>
      </c>
      <c r="AC13" s="64"/>
      <c r="AD13" s="64"/>
      <c r="AF13" s="98"/>
      <c r="AG13" s="20" t="s">
        <v>83</v>
      </c>
      <c r="AH13" s="107"/>
      <c r="AI13" s="97" t="s">
        <v>397</v>
      </c>
      <c r="AJ13" s="106"/>
      <c r="AK13" s="98"/>
      <c r="AL13" s="98"/>
      <c r="CT13" s="101"/>
      <c r="CU13" s="101"/>
      <c r="CV13" s="63"/>
      <c r="CW13" s="101"/>
    </row>
    <row r="14" spans="2:101" s="60" customFormat="1" ht="13.5" customHeight="1" x14ac:dyDescent="0.25">
      <c r="B14" s="166">
        <v>11</v>
      </c>
      <c r="C14" s="169" t="s">
        <v>75</v>
      </c>
      <c r="D14" s="170">
        <f>Calculator!EB17</f>
        <v>46187.666666666664</v>
      </c>
      <c r="E14" s="171"/>
      <c r="F14" s="171"/>
      <c r="G14" s="171"/>
      <c r="H14" s="172" t="str">
        <f>INDEX(Language!$A$1:$K$177,MATCH(Setup!B28,Language!$B$1:$B$177,0),MATCH(Setup!$C$5,Language!$A$1:$J$1,0))</f>
        <v>Netherlands</v>
      </c>
      <c r="I14" s="172"/>
      <c r="J14" s="173"/>
      <c r="K14" s="173"/>
      <c r="L14" s="172"/>
      <c r="M14" s="174" t="str">
        <f>INDEX(Language!$A$1:$K$177,MATCH(Setup!B29,Language!$B$1:$B$177,0),MATCH(Setup!$C$5,Language!$A$1:$J$1,0))</f>
        <v>Japan</v>
      </c>
      <c r="N14" s="174"/>
      <c r="O14" s="174"/>
      <c r="P14" s="174"/>
      <c r="Q14" s="175" t="s">
        <v>529</v>
      </c>
      <c r="S14" s="121">
        <v>4</v>
      </c>
      <c r="T14" s="82" t="str">
        <f>INDEX(Calculator!C$11:C$14,MATCH($S14,Calculator!$B$11:$B$14,0),0)</f>
        <v>Bosnia and Herzegovina</v>
      </c>
      <c r="U14" s="82"/>
      <c r="V14" s="69">
        <f t="shared" si="1"/>
        <v>0</v>
      </c>
      <c r="W14" s="69">
        <f>INDEX(Calculator!D$11:D$14,MATCH($S14,Calculator!$B$11:$B$14,0),0)</f>
        <v>0</v>
      </c>
      <c r="X14" s="69">
        <f>INDEX(Calculator!E$11:E$14,MATCH($S14,Calculator!$B$11:$B$14,0),0)</f>
        <v>0</v>
      </c>
      <c r="Y14" s="69">
        <f>INDEX(Calculator!F$11:F$14,MATCH($S14,Calculator!$B$11:$B$14,0),0)</f>
        <v>0</v>
      </c>
      <c r="Z14" s="83">
        <f>INDEX(Calculator!G$11:G$14,MATCH($S14,Calculator!$B$11:$B$14,0),0)</f>
        <v>0</v>
      </c>
      <c r="AA14" s="83">
        <f>INDEX(Calculator!H$11:H$14,MATCH($S14,Calculator!$B$11:$B$14,0),0)</f>
        <v>0</v>
      </c>
      <c r="AB14" s="122">
        <f>INDEX(Calculator!J$11:J$14,MATCH($S14,Calculator!$B$11:$B$14,0),0)</f>
        <v>0</v>
      </c>
      <c r="AC14" s="64"/>
      <c r="AD14" s="64"/>
      <c r="AF14" s="98"/>
      <c r="AG14" s="202" t="s">
        <v>83</v>
      </c>
      <c r="AH14" s="107"/>
      <c r="AI14" s="97" t="s">
        <v>396</v>
      </c>
      <c r="AJ14" s="98"/>
      <c r="AK14" s="98"/>
      <c r="AL14" s="98"/>
      <c r="CT14" s="101"/>
      <c r="CU14" s="101"/>
      <c r="CV14" s="63"/>
      <c r="CW14" s="101"/>
    </row>
    <row r="15" spans="2:101" s="60" customFormat="1" ht="13.5" customHeight="1" x14ac:dyDescent="0.25">
      <c r="B15" s="166">
        <v>12</v>
      </c>
      <c r="C15" s="176" t="s">
        <v>75</v>
      </c>
      <c r="D15" s="177">
        <f>Calculator!EB18</f>
        <v>46187.916666666664</v>
      </c>
      <c r="E15" s="178"/>
      <c r="F15" s="178"/>
      <c r="G15" s="178"/>
      <c r="H15" s="179" t="str">
        <f>INDEX(Language!$A$1:$K$177,MATCH(Setup!B30,Language!$B$1:$B$177,0),MATCH(Setup!$C$5,Language!$A$1:$J$1,0))</f>
        <v>Sweden</v>
      </c>
      <c r="I15" s="179"/>
      <c r="J15" s="173"/>
      <c r="K15" s="173"/>
      <c r="L15" s="179"/>
      <c r="M15" s="180" t="str">
        <f>INDEX(Language!$A$1:$K$177,MATCH(Setup!B31,Language!$B$1:$B$177,0),MATCH(Setup!$C$5,Language!$A$1:$J$1,0))</f>
        <v>Tunisia</v>
      </c>
      <c r="N15" s="180"/>
      <c r="O15" s="180"/>
      <c r="P15" s="180"/>
      <c r="Q15" s="181" t="s">
        <v>530</v>
      </c>
      <c r="S15" s="135"/>
      <c r="T15" s="84"/>
      <c r="U15" s="84"/>
      <c r="V15" s="6"/>
      <c r="W15" s="6"/>
      <c r="X15" s="6"/>
      <c r="Y15" s="6"/>
      <c r="Z15" s="6"/>
      <c r="AA15" s="6"/>
      <c r="AB15" s="136"/>
      <c r="AC15" s="64"/>
      <c r="AD15" s="64"/>
      <c r="AF15" s="98"/>
      <c r="AG15" s="98"/>
      <c r="AH15" s="98"/>
      <c r="AI15" s="98"/>
      <c r="AJ15" s="98"/>
      <c r="AK15" s="98"/>
      <c r="AL15" s="98"/>
      <c r="CT15" s="101"/>
      <c r="CU15" s="101"/>
      <c r="CV15" s="63"/>
      <c r="CW15" s="101"/>
    </row>
    <row r="16" spans="2:101" s="60" customFormat="1" ht="13.5" customHeight="1" x14ac:dyDescent="0.25">
      <c r="B16" s="166">
        <v>13</v>
      </c>
      <c r="C16" s="169" t="s">
        <v>78</v>
      </c>
      <c r="D16" s="170">
        <f>Calculator!EB19</f>
        <v>46188.75</v>
      </c>
      <c r="E16" s="171"/>
      <c r="F16" s="171"/>
      <c r="G16" s="171"/>
      <c r="H16" s="172" t="str">
        <f>INDEX(Language!$A$1:$K$177,MATCH(Setup!B38,Language!$B$1:$B$177,0),MATCH(Setup!$C$5,Language!$A$1:$J$1,0))</f>
        <v>Saudi Arabia</v>
      </c>
      <c r="I16" s="172"/>
      <c r="J16" s="173"/>
      <c r="K16" s="173"/>
      <c r="L16" s="172"/>
      <c r="M16" s="174" t="str">
        <f>INDEX(Language!$A$1:$K$177,MATCH(Setup!B39,Language!$B$1:$B$177,0),MATCH(Setup!$C$5,Language!$A$1:$J$1,0))</f>
        <v>Uruguay</v>
      </c>
      <c r="N16" s="174"/>
      <c r="O16" s="174"/>
      <c r="P16" s="174"/>
      <c r="Q16" s="175" t="s">
        <v>531</v>
      </c>
      <c r="S16" s="131" t="str">
        <f>INDEX(Language!$A$1:$K$177,MATCH("Group C",Language!$B$1:$B$177,0),MATCH(Setup!$C$5,Language!$A$1:$J$1,0))</f>
        <v>Group C</v>
      </c>
      <c r="T16" s="114"/>
      <c r="U16" s="114"/>
      <c r="V16" s="113" t="s">
        <v>67</v>
      </c>
      <c r="W16" s="113" t="s">
        <v>68</v>
      </c>
      <c r="X16" s="113" t="s">
        <v>69</v>
      </c>
      <c r="Y16" s="113" t="s">
        <v>70</v>
      </c>
      <c r="Z16" s="113" t="s">
        <v>75</v>
      </c>
      <c r="AA16" s="113" t="s">
        <v>72</v>
      </c>
      <c r="AB16" s="132" t="s">
        <v>71</v>
      </c>
      <c r="AC16" s="64"/>
      <c r="AD16" s="64"/>
      <c r="AF16" s="98"/>
      <c r="AG16" s="98"/>
      <c r="AH16" s="98"/>
      <c r="AI16" s="98"/>
      <c r="AJ16" s="98"/>
      <c r="AK16" s="98"/>
      <c r="AL16" s="98"/>
      <c r="CT16" s="101"/>
      <c r="CU16" s="101"/>
      <c r="CV16" s="63"/>
      <c r="CW16" s="101"/>
    </row>
    <row r="17" spans="2:101" s="60" customFormat="1" ht="13.5" customHeight="1" x14ac:dyDescent="0.25">
      <c r="B17" s="166">
        <v>14</v>
      </c>
      <c r="C17" s="176" t="s">
        <v>78</v>
      </c>
      <c r="D17" s="177">
        <f>Calculator!EB20</f>
        <v>46188.5</v>
      </c>
      <c r="E17" s="178"/>
      <c r="F17" s="178"/>
      <c r="G17" s="178"/>
      <c r="H17" s="179" t="str">
        <f>INDEX(Language!$A$1:$K$177,MATCH(Setup!B36,Language!$B$1:$B$177,0),MATCH(Setup!$C$5,Language!$A$1:$J$1,0))</f>
        <v>Spain</v>
      </c>
      <c r="I17" s="179"/>
      <c r="J17" s="173"/>
      <c r="K17" s="173"/>
      <c r="L17" s="179"/>
      <c r="M17" s="180" t="str">
        <f>INDEX(Language!$A$1:$K$177,MATCH(Setup!B37,Language!$B$1:$B$177,0),MATCH(Setup!$C$5,Language!$A$1:$J$1,0))</f>
        <v>Cabo Verde</v>
      </c>
      <c r="N17" s="180"/>
      <c r="O17" s="180"/>
      <c r="P17" s="180"/>
      <c r="Q17" s="181" t="s">
        <v>532</v>
      </c>
      <c r="S17" s="137">
        <v>1</v>
      </c>
      <c r="T17" s="86" t="str">
        <f>INDEX(Calculator!C$18:C$21,MATCH($S17,Calculator!$B$18:$B$21,0),0)</f>
        <v>Brazil</v>
      </c>
      <c r="U17" s="86"/>
      <c r="V17" s="71">
        <f>SUM(W17:Y17)</f>
        <v>0</v>
      </c>
      <c r="W17" s="71">
        <f>INDEX(Calculator!D$18:D$21,MATCH($S17,Calculator!$B$18:$B$21,0),0)</f>
        <v>0</v>
      </c>
      <c r="X17" s="71">
        <f>INDEX(Calculator!E$18:E$21,MATCH($S17,Calculator!$B$18:$B$21,0),0)</f>
        <v>0</v>
      </c>
      <c r="Y17" s="71">
        <f>INDEX(Calculator!F$18:F$21,MATCH($S17,Calculator!$B$18:$B$21,0),0)</f>
        <v>0</v>
      </c>
      <c r="Z17" s="71">
        <f>INDEX(Calculator!G$18:G$21,MATCH($S17,Calculator!$B$18:$B$21,0),0)</f>
        <v>0</v>
      </c>
      <c r="AA17" s="71">
        <f>INDEX(Calculator!H$18:H$21,MATCH($S17,Calculator!$B$18:$B$21,0),0)</f>
        <v>0</v>
      </c>
      <c r="AB17" s="138">
        <f>INDEX(Calculator!J$18:J$21,MATCH($S17,Calculator!$B$18:$B$21,0),0)</f>
        <v>0</v>
      </c>
      <c r="AC17" s="64"/>
      <c r="AD17" s="64"/>
      <c r="AF17" s="98"/>
      <c r="AG17" s="98"/>
      <c r="AH17" s="98"/>
      <c r="AI17" s="98"/>
      <c r="AJ17" s="98"/>
      <c r="AK17" s="98"/>
      <c r="AL17" s="98"/>
      <c r="CT17" s="101"/>
      <c r="CU17" s="101"/>
      <c r="CV17" s="63"/>
      <c r="CW17" s="101"/>
    </row>
    <row r="18" spans="2:101" s="60" customFormat="1" ht="13.5" customHeight="1" x14ac:dyDescent="0.25">
      <c r="B18" s="166">
        <v>15</v>
      </c>
      <c r="C18" s="169" t="s">
        <v>77</v>
      </c>
      <c r="D18" s="170">
        <f>Calculator!EB21</f>
        <v>46188.875</v>
      </c>
      <c r="E18" s="171"/>
      <c r="F18" s="171"/>
      <c r="G18" s="171"/>
      <c r="H18" s="172" t="str">
        <f>INDEX(Language!$A$1:$K$177,MATCH(Setup!B34,Language!$B$1:$B$177,0),MATCH(Setup!$C$5,Language!$A$1:$J$1,0))</f>
        <v>Iran</v>
      </c>
      <c r="I18" s="172"/>
      <c r="J18" s="173"/>
      <c r="K18" s="173"/>
      <c r="L18" s="172"/>
      <c r="M18" s="174" t="str">
        <f>INDEX(Language!$A$1:$K$177,MATCH(Setup!B35,Language!$B$1:$B$177,0),MATCH(Setup!$C$5,Language!$A$1:$J$1,0))</f>
        <v>New Zealand</v>
      </c>
      <c r="N18" s="174"/>
      <c r="O18" s="174"/>
      <c r="P18" s="174"/>
      <c r="Q18" s="175" t="s">
        <v>522</v>
      </c>
      <c r="S18" s="137">
        <v>2</v>
      </c>
      <c r="T18" s="86" t="str">
        <f>INDEX(Calculator!C$18:C$21,MATCH($S18,Calculator!$B$18:$B$21,0),0)</f>
        <v>Morocco</v>
      </c>
      <c r="U18" s="86"/>
      <c r="V18" s="71">
        <f t="shared" ref="V18:V20" si="2">SUM(W18:Y18)</f>
        <v>0</v>
      </c>
      <c r="W18" s="71">
        <f>INDEX(Calculator!D$18:D$21,MATCH($S18,Calculator!$B$18:$B$21,0),0)</f>
        <v>0</v>
      </c>
      <c r="X18" s="71">
        <f>INDEX(Calculator!E$18:E$21,MATCH($S18,Calculator!$B$18:$B$21,0),0)</f>
        <v>0</v>
      </c>
      <c r="Y18" s="71">
        <f>INDEX(Calculator!F$18:F$21,MATCH($S18,Calculator!$B$18:$B$21,0),0)</f>
        <v>0</v>
      </c>
      <c r="Z18" s="71">
        <f>INDEX(Calculator!G$18:G$21,MATCH($S18,Calculator!$B$18:$B$21,0),0)</f>
        <v>0</v>
      </c>
      <c r="AA18" s="71">
        <f>INDEX(Calculator!H$18:H$21,MATCH($S18,Calculator!$B$18:$B$21,0),0)</f>
        <v>0</v>
      </c>
      <c r="AB18" s="138">
        <f>INDEX(Calculator!J$18:J$21,MATCH($S18,Calculator!$B$18:$B$21,0),0)</f>
        <v>0</v>
      </c>
      <c r="AC18" s="64"/>
      <c r="AD18" s="64"/>
      <c r="AF18" s="98"/>
      <c r="AG18" s="98"/>
      <c r="AH18" s="98"/>
      <c r="AI18" s="98"/>
      <c r="AJ18" s="98"/>
      <c r="AK18" s="98"/>
      <c r="AL18" s="98"/>
      <c r="CT18" s="101"/>
      <c r="CU18" s="101"/>
      <c r="CV18" s="63"/>
      <c r="CW18" s="101"/>
    </row>
    <row r="19" spans="2:101" s="60" customFormat="1" ht="13.5" customHeight="1" x14ac:dyDescent="0.25">
      <c r="B19" s="166">
        <v>16</v>
      </c>
      <c r="C19" s="176" t="s">
        <v>77</v>
      </c>
      <c r="D19" s="177">
        <f>Calculator!EB22</f>
        <v>46188.625</v>
      </c>
      <c r="E19" s="178"/>
      <c r="F19" s="178"/>
      <c r="G19" s="178"/>
      <c r="H19" s="179" t="str">
        <f>INDEX(Language!$A$1:$K$177,MATCH(Setup!B32,Language!$B$1:$B$177,0),MATCH(Setup!$C$5,Language!$A$1:$J$1,0))</f>
        <v>Belgium</v>
      </c>
      <c r="I19" s="179"/>
      <c r="J19" s="173"/>
      <c r="K19" s="173"/>
      <c r="L19" s="179"/>
      <c r="M19" s="180" t="str">
        <f>INDEX(Language!$A$1:$K$177,MATCH(Setup!B33,Language!$B$1:$B$177,0),MATCH(Setup!$C$5,Language!$A$1:$J$1,0))</f>
        <v>Egypt</v>
      </c>
      <c r="N19" s="180"/>
      <c r="O19" s="180"/>
      <c r="P19" s="180"/>
      <c r="Q19" s="181" t="s">
        <v>533</v>
      </c>
      <c r="S19" s="121">
        <v>3</v>
      </c>
      <c r="T19" s="82" t="str">
        <f>INDEX(Calculator!C$18:C$21,MATCH($S19,Calculator!$B$18:$B$21,0),0)</f>
        <v>Scotland</v>
      </c>
      <c r="U19" s="82"/>
      <c r="V19" s="69">
        <f t="shared" si="2"/>
        <v>0</v>
      </c>
      <c r="W19" s="69">
        <f>INDEX(Calculator!D$18:D$21,MATCH($S19,Calculator!$B$18:$B$21,0),0)</f>
        <v>0</v>
      </c>
      <c r="X19" s="69">
        <f>INDEX(Calculator!E$18:E$21,MATCH($S19,Calculator!$B$18:$B$21,0),0)</f>
        <v>0</v>
      </c>
      <c r="Y19" s="69">
        <f>INDEX(Calculator!F$18:F$21,MATCH($S19,Calculator!$B$18:$B$21,0),0)</f>
        <v>0</v>
      </c>
      <c r="Z19" s="83">
        <f>INDEX(Calculator!G$18:G$21,MATCH($S19,Calculator!$B$18:$B$21,0),0)</f>
        <v>0</v>
      </c>
      <c r="AA19" s="83">
        <f>INDEX(Calculator!H$18:H$21,MATCH($S19,Calculator!$B$18:$B$21,0),0)</f>
        <v>0</v>
      </c>
      <c r="AB19" s="122">
        <f>INDEX(Calculator!J$18:J$21,MATCH($S19,Calculator!$B$18:$B$21,0),0)</f>
        <v>0</v>
      </c>
      <c r="AC19" s="64"/>
      <c r="AD19" s="64"/>
      <c r="AF19" s="98"/>
      <c r="AG19" s="98"/>
      <c r="AH19" s="98"/>
      <c r="AI19" s="98"/>
      <c r="AJ19" s="98"/>
      <c r="AK19" s="98"/>
      <c r="AL19" s="98"/>
      <c r="CT19" s="101"/>
      <c r="CU19" s="101"/>
      <c r="CV19" s="63"/>
      <c r="CW19" s="101"/>
    </row>
    <row r="20" spans="2:101" s="60" customFormat="1" ht="13.5" customHeight="1" x14ac:dyDescent="0.25">
      <c r="B20" s="166">
        <v>17</v>
      </c>
      <c r="C20" s="169" t="s">
        <v>515</v>
      </c>
      <c r="D20" s="170">
        <f>Calculator!EB23</f>
        <v>46189.625</v>
      </c>
      <c r="E20" s="171"/>
      <c r="F20" s="171"/>
      <c r="G20" s="171"/>
      <c r="H20" s="172" t="str">
        <f>INDEX(Language!$A$1:$K$177,MATCH(Setup!B40,Language!$B$1:$B$177,0),MATCH(Setup!$C$5,Language!$A$1:$J$1,0))</f>
        <v>France</v>
      </c>
      <c r="I20" s="172"/>
      <c r="J20" s="173"/>
      <c r="K20" s="173"/>
      <c r="L20" s="172"/>
      <c r="M20" s="174" t="str">
        <f>INDEX(Language!$A$1:$K$177,MATCH(Setup!B41,Language!$B$1:$B$177,0),MATCH(Setup!$C$5,Language!$A$1:$J$1,0))</f>
        <v>Senegal</v>
      </c>
      <c r="N20" s="174"/>
      <c r="O20" s="174"/>
      <c r="P20" s="174"/>
      <c r="Q20" s="175" t="s">
        <v>525</v>
      </c>
      <c r="S20" s="121">
        <v>4</v>
      </c>
      <c r="T20" s="82" t="str">
        <f>INDEX(Calculator!C$18:C$21,MATCH($S20,Calculator!$B$18:$B$21,0),0)</f>
        <v>Haiti</v>
      </c>
      <c r="U20" s="82"/>
      <c r="V20" s="69">
        <f t="shared" si="2"/>
        <v>0</v>
      </c>
      <c r="W20" s="69">
        <f>INDEX(Calculator!D$18:D$21,MATCH($S20,Calculator!$B$18:$B$21,0),0)</f>
        <v>0</v>
      </c>
      <c r="X20" s="69">
        <f>INDEX(Calculator!E$18:E$21,MATCH($S20,Calculator!$B$18:$B$21,0),0)</f>
        <v>0</v>
      </c>
      <c r="Y20" s="69">
        <f>INDEX(Calculator!F$18:F$21,MATCH($S20,Calculator!$B$18:$B$21,0),0)</f>
        <v>0</v>
      </c>
      <c r="Z20" s="83">
        <f>INDEX(Calculator!G$18:G$21,MATCH($S20,Calculator!$B$18:$B$21,0),0)</f>
        <v>0</v>
      </c>
      <c r="AA20" s="83">
        <f>INDEX(Calculator!H$18:H$21,MATCH($S20,Calculator!$B$18:$B$21,0),0)</f>
        <v>0</v>
      </c>
      <c r="AB20" s="122">
        <f>INDEX(Calculator!J$18:J$21,MATCH($S20,Calculator!$B$18:$B$21,0),0)</f>
        <v>0</v>
      </c>
      <c r="AC20" s="64"/>
      <c r="AD20" s="64"/>
      <c r="AF20" s="98"/>
      <c r="AG20" s="98"/>
      <c r="AH20" s="98"/>
      <c r="AI20" s="98"/>
      <c r="AJ20" s="98"/>
      <c r="AK20" s="98"/>
      <c r="AL20" s="98"/>
      <c r="CT20" s="101"/>
      <c r="CU20" s="101"/>
      <c r="CV20" s="63"/>
      <c r="CW20" s="101"/>
    </row>
    <row r="21" spans="2:101" s="60" customFormat="1" ht="13.5" customHeight="1" x14ac:dyDescent="0.25">
      <c r="B21" s="166">
        <v>18</v>
      </c>
      <c r="C21" s="176" t="s">
        <v>515</v>
      </c>
      <c r="D21" s="177">
        <f>Calculator!EB24</f>
        <v>46189.75</v>
      </c>
      <c r="E21" s="178"/>
      <c r="F21" s="178"/>
      <c r="G21" s="178"/>
      <c r="H21" s="179" t="str">
        <f>INDEX(Language!$A$1:$K$177,MATCH(Setup!B42,Language!$B$1:$B$177,0),MATCH(Setup!$C$5,Language!$A$1:$J$1,0))</f>
        <v>Iraq</v>
      </c>
      <c r="I21" s="179"/>
      <c r="J21" s="173"/>
      <c r="K21" s="173"/>
      <c r="L21" s="179"/>
      <c r="M21" s="180" t="str">
        <f>INDEX(Language!$A$1:$K$177,MATCH(Setup!B43,Language!$B$1:$B$177,0),MATCH(Setup!$C$5,Language!$A$1:$J$1,0))</f>
        <v>Norway</v>
      </c>
      <c r="N21" s="180"/>
      <c r="O21" s="180"/>
      <c r="P21" s="180"/>
      <c r="Q21" s="181" t="s">
        <v>523</v>
      </c>
      <c r="S21" s="135"/>
      <c r="T21" s="84"/>
      <c r="U21" s="84"/>
      <c r="V21" s="6"/>
      <c r="W21" s="6"/>
      <c r="X21" s="6"/>
      <c r="Y21" s="6"/>
      <c r="Z21" s="6"/>
      <c r="AA21" s="6"/>
      <c r="AB21" s="136"/>
      <c r="AC21" s="64"/>
      <c r="AD21" s="64"/>
      <c r="AF21" s="98"/>
      <c r="AG21" s="98"/>
      <c r="AH21" s="98"/>
      <c r="AI21" s="98"/>
      <c r="AJ21" s="98"/>
      <c r="AK21" s="98"/>
      <c r="AL21" s="98"/>
      <c r="CT21" s="101"/>
      <c r="CU21" s="101"/>
      <c r="CV21" s="63"/>
      <c r="CW21" s="101"/>
    </row>
    <row r="22" spans="2:101" s="60" customFormat="1" ht="13.5" customHeight="1" x14ac:dyDescent="0.25">
      <c r="B22" s="166">
        <v>19</v>
      </c>
      <c r="C22" s="169" t="s">
        <v>516</v>
      </c>
      <c r="D22" s="170">
        <f>Calculator!EB25</f>
        <v>46189.875</v>
      </c>
      <c r="E22" s="171"/>
      <c r="F22" s="171"/>
      <c r="G22" s="171"/>
      <c r="H22" s="172" t="str">
        <f>INDEX(Language!$A$1:$K$177,MATCH(Setup!B44,Language!$B$1:$B$177,0),MATCH(Setup!$C$5,Language!$A$1:$J$1,0))</f>
        <v>Argentina</v>
      </c>
      <c r="I22" s="172"/>
      <c r="J22" s="173"/>
      <c r="K22" s="173"/>
      <c r="L22" s="172"/>
      <c r="M22" s="174" t="str">
        <f>INDEX(Language!$A$1:$K$177,MATCH(Setup!B45,Language!$B$1:$B$177,0),MATCH(Setup!$C$5,Language!$A$1:$J$1,0))</f>
        <v>Algeria</v>
      </c>
      <c r="N22" s="174"/>
      <c r="O22" s="174"/>
      <c r="P22" s="174"/>
      <c r="Q22" s="175" t="s">
        <v>534</v>
      </c>
      <c r="S22" s="131" t="str">
        <f>INDEX(Language!$A$1:$K$177,MATCH("Group D",Language!$B$1:$B$177,0),MATCH(Setup!$C$5,Language!$A$1:$J$1,0))</f>
        <v>Group D</v>
      </c>
      <c r="T22" s="114"/>
      <c r="U22" s="114"/>
      <c r="V22" s="113" t="s">
        <v>67</v>
      </c>
      <c r="W22" s="113" t="s">
        <v>68</v>
      </c>
      <c r="X22" s="113" t="s">
        <v>69</v>
      </c>
      <c r="Y22" s="113" t="s">
        <v>70</v>
      </c>
      <c r="Z22" s="113" t="s">
        <v>75</v>
      </c>
      <c r="AA22" s="113" t="s">
        <v>72</v>
      </c>
      <c r="AB22" s="132" t="s">
        <v>71</v>
      </c>
      <c r="AC22" s="64"/>
      <c r="AD22" s="64"/>
      <c r="AF22" s="98"/>
      <c r="AG22" s="98"/>
      <c r="AH22" s="98"/>
      <c r="AI22" s="98"/>
      <c r="AJ22" s="98"/>
      <c r="AK22" s="98"/>
      <c r="AL22" s="98"/>
      <c r="CT22" s="101"/>
      <c r="CU22" s="101"/>
      <c r="CV22" s="63"/>
      <c r="CW22" s="101"/>
    </row>
    <row r="23" spans="2:101" s="60" customFormat="1" ht="13.5" customHeight="1" x14ac:dyDescent="0.25">
      <c r="B23" s="166">
        <v>20</v>
      </c>
      <c r="C23" s="176" t="s">
        <v>516</v>
      </c>
      <c r="D23" s="177">
        <f>Calculator!EB26</f>
        <v>46189</v>
      </c>
      <c r="E23" s="178"/>
      <c r="F23" s="178"/>
      <c r="G23" s="178"/>
      <c r="H23" s="179" t="str">
        <f>INDEX(Language!$A$1:$K$177,MATCH(Setup!B46,Language!$B$1:$B$177,0),MATCH(Setup!$C$5,Language!$A$1:$J$1,0))</f>
        <v>Austria</v>
      </c>
      <c r="I23" s="179"/>
      <c r="J23" s="173"/>
      <c r="K23" s="173"/>
      <c r="L23" s="179"/>
      <c r="M23" s="180" t="str">
        <f>INDEX(Language!$A$1:$K$177,MATCH(Setup!B47,Language!$B$1:$B$177,0),MATCH(Setup!$C$5,Language!$A$1:$J$1,0))</f>
        <v>Jordan</v>
      </c>
      <c r="N23" s="180"/>
      <c r="O23" s="180"/>
      <c r="P23" s="180"/>
      <c r="Q23" s="181" t="s">
        <v>526</v>
      </c>
      <c r="S23" s="139">
        <v>1</v>
      </c>
      <c r="T23" s="87" t="str">
        <f>INDEX(Calculator!C$25:C$28,MATCH($S23,Calculator!$B$25:$B$28,0),0)</f>
        <v>USA</v>
      </c>
      <c r="U23" s="87"/>
      <c r="V23" s="72">
        <f>SUM(W23:Y23)</f>
        <v>0</v>
      </c>
      <c r="W23" s="72">
        <f>INDEX(Calculator!D$25:D$28,MATCH($S23,Calculator!$B$25:$B$28,0),0)</f>
        <v>0</v>
      </c>
      <c r="X23" s="72">
        <f>INDEX(Calculator!E$25:E$28,MATCH($S23,Calculator!$B$25:$B$28,0),0)</f>
        <v>0</v>
      </c>
      <c r="Y23" s="72">
        <f>INDEX(Calculator!F$25:F$28,MATCH($S23,Calculator!$B$25:$B$28,0),0)</f>
        <v>0</v>
      </c>
      <c r="Z23" s="72">
        <f>INDEX(Calculator!G$25:G$28,MATCH($S23,Calculator!$B$25:$B$28,0),0)</f>
        <v>0</v>
      </c>
      <c r="AA23" s="72">
        <f>INDEX(Calculator!H$25:H$28,MATCH($S23,Calculator!$B$25:$B$28,0),0)</f>
        <v>0</v>
      </c>
      <c r="AB23" s="140">
        <f>INDEX(Calculator!J$25:J$28,MATCH($S23,Calculator!$B$25:$B$28,0),0)</f>
        <v>0</v>
      </c>
      <c r="AC23" s="64"/>
      <c r="AD23" s="64"/>
      <c r="AF23" s="98"/>
      <c r="AG23" s="98"/>
      <c r="AH23" s="98"/>
      <c r="AI23" s="98"/>
      <c r="AJ23" s="98"/>
      <c r="AK23" s="98"/>
      <c r="AL23" s="98"/>
      <c r="CT23" s="101"/>
      <c r="CU23" s="101"/>
      <c r="CV23" s="63"/>
      <c r="CW23" s="101"/>
    </row>
    <row r="24" spans="2:101" s="60" customFormat="1" ht="13.5" customHeight="1" x14ac:dyDescent="0.25">
      <c r="B24" s="166">
        <v>21</v>
      </c>
      <c r="C24" s="169" t="s">
        <v>70</v>
      </c>
      <c r="D24" s="170">
        <f>Calculator!EB27</f>
        <v>46190.791666666664</v>
      </c>
      <c r="E24" s="171"/>
      <c r="F24" s="171"/>
      <c r="G24" s="171"/>
      <c r="H24" s="172" t="str">
        <f>INDEX(Language!$A$1:$K$177,MATCH(Setup!B54,Language!$B$1:$B$177,0),MATCH(Setup!$C$5,Language!$A$1:$J$1,0))</f>
        <v>Ghana</v>
      </c>
      <c r="I24" s="172"/>
      <c r="J24" s="173"/>
      <c r="K24" s="173"/>
      <c r="L24" s="172"/>
      <c r="M24" s="174" t="str">
        <f>INDEX(Language!$A$1:$K$177,MATCH(Setup!B55,Language!$B$1:$B$177,0),MATCH(Setup!$C$5,Language!$A$1:$J$1,0))</f>
        <v>Panama</v>
      </c>
      <c r="N24" s="174"/>
      <c r="O24" s="174"/>
      <c r="P24" s="174"/>
      <c r="Q24" s="175" t="s">
        <v>521</v>
      </c>
      <c r="S24" s="139">
        <v>2</v>
      </c>
      <c r="T24" s="87" t="str">
        <f>INDEX(Calculator!C$25:C$28,MATCH($S24,Calculator!$B$25:$B$28,0),0)</f>
        <v>Türkiye</v>
      </c>
      <c r="U24" s="87"/>
      <c r="V24" s="72">
        <f t="shared" ref="V24:V26" si="3">SUM(W24:Y24)</f>
        <v>0</v>
      </c>
      <c r="W24" s="72">
        <f>INDEX(Calculator!D$25:D$28,MATCH($S24,Calculator!$B$25:$B$28,0),0)</f>
        <v>0</v>
      </c>
      <c r="X24" s="72">
        <f>INDEX(Calculator!E$25:E$28,MATCH($S24,Calculator!$B$25:$B$28,0),0)</f>
        <v>0</v>
      </c>
      <c r="Y24" s="72">
        <f>INDEX(Calculator!F$25:F$28,MATCH($S24,Calculator!$B$25:$B$28,0),0)</f>
        <v>0</v>
      </c>
      <c r="Z24" s="72">
        <f>INDEX(Calculator!G$25:G$28,MATCH($S24,Calculator!$B$25:$B$28,0),0)</f>
        <v>0</v>
      </c>
      <c r="AA24" s="72">
        <f>INDEX(Calculator!H$25:H$28,MATCH($S24,Calculator!$B$25:$B$28,0),0)</f>
        <v>0</v>
      </c>
      <c r="AB24" s="140">
        <f>INDEX(Calculator!J$25:J$28,MATCH($S24,Calculator!$B$25:$B$28,0),0)</f>
        <v>0</v>
      </c>
      <c r="AC24" s="64"/>
      <c r="AD24" s="64"/>
      <c r="AF24" s="98"/>
      <c r="AG24" s="98"/>
      <c r="AH24" s="98"/>
      <c r="AI24" s="98"/>
      <c r="AJ24" s="98"/>
      <c r="AK24" s="98"/>
      <c r="AL24" s="98"/>
      <c r="CT24" s="101"/>
      <c r="CU24" s="101"/>
      <c r="CV24" s="63"/>
      <c r="CW24" s="101"/>
    </row>
    <row r="25" spans="2:101" s="60" customFormat="1" ht="13.5" customHeight="1" x14ac:dyDescent="0.25">
      <c r="B25" s="166">
        <v>22</v>
      </c>
      <c r="C25" s="176" t="s">
        <v>70</v>
      </c>
      <c r="D25" s="177">
        <f>Calculator!EB28</f>
        <v>46190.666666666664</v>
      </c>
      <c r="E25" s="178"/>
      <c r="F25" s="178"/>
      <c r="G25" s="178"/>
      <c r="H25" s="179" t="str">
        <f>INDEX(Language!$A$1:$K$177,MATCH(Setup!B52,Language!$B$1:$B$177,0),MATCH(Setup!$C$5,Language!$A$1:$J$1,0))</f>
        <v>England</v>
      </c>
      <c r="I25" s="179"/>
      <c r="J25" s="173"/>
      <c r="K25" s="173"/>
      <c r="L25" s="179"/>
      <c r="M25" s="180" t="str">
        <f>INDEX(Language!$A$1:$K$177,MATCH(Setup!B53,Language!$B$1:$B$177,0),MATCH(Setup!$C$5,Language!$A$1:$J$1,0))</f>
        <v>Croatia</v>
      </c>
      <c r="N25" s="180"/>
      <c r="O25" s="180"/>
      <c r="P25" s="180"/>
      <c r="Q25" s="181" t="s">
        <v>529</v>
      </c>
      <c r="S25" s="121">
        <v>3</v>
      </c>
      <c r="T25" s="82" t="str">
        <f>INDEX(Calculator!C$25:C$28,MATCH($S25,Calculator!$B$25:$B$28,0),0)</f>
        <v>Australia</v>
      </c>
      <c r="U25" s="82"/>
      <c r="V25" s="69">
        <f t="shared" si="3"/>
        <v>0</v>
      </c>
      <c r="W25" s="69">
        <f>INDEX(Calculator!D$25:D$28,MATCH($S25,Calculator!$B$25:$B$28,0),0)</f>
        <v>0</v>
      </c>
      <c r="X25" s="69">
        <f>INDEX(Calculator!E$25:E$28,MATCH($S25,Calculator!$B$25:$B$28,0),0)</f>
        <v>0</v>
      </c>
      <c r="Y25" s="69">
        <f>INDEX(Calculator!F$25:F$28,MATCH($S25,Calculator!$B$25:$B$28,0),0)</f>
        <v>0</v>
      </c>
      <c r="Z25" s="83">
        <f>INDEX(Calculator!G$25:G$28,MATCH($S25,Calculator!$B$25:$B$28,0),0)</f>
        <v>0</v>
      </c>
      <c r="AA25" s="83">
        <f>INDEX(Calculator!H$25:H$28,MATCH($S25,Calculator!$B$25:$B$28,0),0)</f>
        <v>0</v>
      </c>
      <c r="AB25" s="122">
        <f>INDEX(Calculator!J$25:J$28,MATCH($S25,Calculator!$B$25:$B$28,0),0)</f>
        <v>0</v>
      </c>
      <c r="AC25" s="64"/>
      <c r="AD25" s="64"/>
      <c r="AF25" s="98"/>
      <c r="AG25" s="98"/>
      <c r="AH25" s="98"/>
      <c r="AI25" s="98"/>
      <c r="AJ25" s="98"/>
      <c r="AK25" s="98"/>
      <c r="AL25" s="98"/>
      <c r="CT25" s="101"/>
      <c r="CU25" s="101"/>
      <c r="CV25" s="63"/>
      <c r="CW25" s="101"/>
    </row>
    <row r="26" spans="2:101" s="60" customFormat="1" ht="13.5" customHeight="1" x14ac:dyDescent="0.25">
      <c r="B26" s="166">
        <v>23</v>
      </c>
      <c r="C26" s="169" t="s">
        <v>517</v>
      </c>
      <c r="D26" s="170">
        <f>Calculator!EB29</f>
        <v>46190.541666666664</v>
      </c>
      <c r="E26" s="171"/>
      <c r="F26" s="171"/>
      <c r="G26" s="171"/>
      <c r="H26" s="172" t="str">
        <f>INDEX(Language!$A$1:$K$177,MATCH(Setup!B48,Language!$B$1:$B$177,0),MATCH(Setup!$C$5,Language!$A$1:$J$1,0))</f>
        <v>Portugal</v>
      </c>
      <c r="I26" s="172"/>
      <c r="J26" s="173"/>
      <c r="K26" s="173"/>
      <c r="L26" s="172"/>
      <c r="M26" s="174" t="str">
        <f>INDEX(Language!$A$1:$K$177,MATCH(Setup!B49,Language!$B$1:$B$177,0),MATCH(Setup!$C$5,Language!$A$1:$J$1,0))</f>
        <v>DR Congo</v>
      </c>
      <c r="N26" s="174"/>
      <c r="O26" s="174"/>
      <c r="P26" s="174"/>
      <c r="Q26" s="175" t="s">
        <v>528</v>
      </c>
      <c r="S26" s="121">
        <v>4</v>
      </c>
      <c r="T26" s="82" t="str">
        <f>INDEX(Calculator!C$25:C$28,MATCH($S26,Calculator!$B$25:$B$28,0),0)</f>
        <v>Paraguay</v>
      </c>
      <c r="U26" s="82"/>
      <c r="V26" s="69">
        <f t="shared" si="3"/>
        <v>0</v>
      </c>
      <c r="W26" s="69">
        <f>INDEX(Calculator!D$25:D$28,MATCH($S26,Calculator!$B$25:$B$28,0),0)</f>
        <v>0</v>
      </c>
      <c r="X26" s="69">
        <f>INDEX(Calculator!E$25:E$28,MATCH($S26,Calculator!$B$25:$B$28,0),0)</f>
        <v>0</v>
      </c>
      <c r="Y26" s="69">
        <f>INDEX(Calculator!F$25:F$28,MATCH($S26,Calculator!$B$25:$B$28,0),0)</f>
        <v>0</v>
      </c>
      <c r="Z26" s="83">
        <f>INDEX(Calculator!G$25:G$28,MATCH($S26,Calculator!$B$25:$B$28,0),0)</f>
        <v>0</v>
      </c>
      <c r="AA26" s="83">
        <f>INDEX(Calculator!H$25:H$28,MATCH($S26,Calculator!$B$25:$B$28,0),0)</f>
        <v>0</v>
      </c>
      <c r="AB26" s="122">
        <f>INDEX(Calculator!J$25:J$28,MATCH($S26,Calculator!$B$25:$B$28,0),0)</f>
        <v>0</v>
      </c>
      <c r="AC26" s="64"/>
      <c r="AD26" s="64"/>
      <c r="AF26" s="98"/>
      <c r="AG26" s="98"/>
      <c r="AH26" s="98"/>
      <c r="AI26" s="98"/>
      <c r="AJ26" s="98"/>
      <c r="AK26" s="98"/>
      <c r="AL26" s="98"/>
      <c r="CT26" s="101"/>
      <c r="CU26" s="101"/>
      <c r="CV26" s="63"/>
      <c r="CW26" s="101"/>
    </row>
    <row r="27" spans="2:101" s="60" customFormat="1" ht="13.5" customHeight="1" x14ac:dyDescent="0.25">
      <c r="B27" s="166">
        <v>24</v>
      </c>
      <c r="C27" s="176" t="s">
        <v>517</v>
      </c>
      <c r="D27" s="177">
        <f>Calculator!EB30</f>
        <v>46190.916666666664</v>
      </c>
      <c r="E27" s="178"/>
      <c r="F27" s="178"/>
      <c r="G27" s="178"/>
      <c r="H27" s="179" t="str">
        <f>INDEX(Language!$A$1:$K$177,MATCH(Setup!B50,Language!$B$1:$B$177,0),MATCH(Setup!$C$5,Language!$A$1:$J$1,0))</f>
        <v>Uzbekistan</v>
      </c>
      <c r="I27" s="179"/>
      <c r="J27" s="173"/>
      <c r="K27" s="173"/>
      <c r="L27" s="179"/>
      <c r="M27" s="180" t="str">
        <f>INDEX(Language!$A$1:$K$177,MATCH(Setup!B51,Language!$B$1:$B$177,0),MATCH(Setup!$C$5,Language!$A$1:$J$1,0))</f>
        <v>Colombia</v>
      </c>
      <c r="N27" s="180"/>
      <c r="O27" s="180"/>
      <c r="P27" s="180"/>
      <c r="Q27" s="181" t="s">
        <v>519</v>
      </c>
      <c r="S27" s="135"/>
      <c r="T27" s="84"/>
      <c r="U27" s="84"/>
      <c r="V27" s="6"/>
      <c r="W27" s="6"/>
      <c r="X27" s="6"/>
      <c r="Y27" s="6"/>
      <c r="Z27" s="6"/>
      <c r="AA27" s="6"/>
      <c r="AB27" s="136"/>
      <c r="AC27" s="64"/>
      <c r="AD27" s="64"/>
      <c r="AF27" s="98"/>
      <c r="AG27" s="98"/>
      <c r="AH27" s="98"/>
      <c r="AI27" s="98"/>
      <c r="AJ27" s="98"/>
      <c r="AK27" s="98"/>
      <c r="AL27" s="98"/>
      <c r="CT27" s="101"/>
      <c r="CU27" s="101"/>
      <c r="CV27" s="63"/>
      <c r="CW27" s="101"/>
    </row>
    <row r="28" spans="2:101" s="60" customFormat="1" ht="13.5" customHeight="1" x14ac:dyDescent="0.25">
      <c r="B28" s="166">
        <v>25</v>
      </c>
      <c r="C28" s="169" t="s">
        <v>72</v>
      </c>
      <c r="D28" s="170">
        <f>Calculator!EB31</f>
        <v>46191.5</v>
      </c>
      <c r="E28" s="171"/>
      <c r="F28" s="171"/>
      <c r="G28" s="171"/>
      <c r="H28" s="172" t="str">
        <f>M5</f>
        <v>Czechia</v>
      </c>
      <c r="I28" s="172"/>
      <c r="J28" s="173"/>
      <c r="K28" s="173"/>
      <c r="L28" s="172"/>
      <c r="M28" s="174" t="str">
        <f>M4</f>
        <v>South Africa</v>
      </c>
      <c r="N28" s="174"/>
      <c r="O28" s="174"/>
      <c r="P28" s="174"/>
      <c r="Q28" s="175" t="s">
        <v>532</v>
      </c>
      <c r="S28" s="131" t="str">
        <f>INDEX(Language!$A$1:$K$177,MATCH("Group E",Language!$B$1:$B$177,0),MATCH(Setup!$C$5,Language!$A$1:$J$1,0))</f>
        <v>Group E</v>
      </c>
      <c r="T28" s="114"/>
      <c r="U28" s="114"/>
      <c r="V28" s="113" t="s">
        <v>67</v>
      </c>
      <c r="W28" s="113" t="s">
        <v>68</v>
      </c>
      <c r="X28" s="113" t="s">
        <v>69</v>
      </c>
      <c r="Y28" s="113" t="s">
        <v>70</v>
      </c>
      <c r="Z28" s="113" t="s">
        <v>75</v>
      </c>
      <c r="AA28" s="113" t="s">
        <v>72</v>
      </c>
      <c r="AB28" s="132" t="s">
        <v>71</v>
      </c>
      <c r="AC28" s="64"/>
      <c r="AD28" s="64"/>
      <c r="AF28" s="98"/>
      <c r="AG28" s="98"/>
      <c r="AH28" s="98"/>
      <c r="AI28" s="98"/>
      <c r="AJ28" s="98"/>
      <c r="AK28" s="98"/>
      <c r="AL28" s="98"/>
      <c r="CT28" s="101"/>
      <c r="CU28" s="101"/>
      <c r="CV28" s="63"/>
      <c r="CW28" s="101"/>
    </row>
    <row r="29" spans="2:101" s="60" customFormat="1" ht="13.5" customHeight="1" x14ac:dyDescent="0.25">
      <c r="B29" s="166">
        <v>26</v>
      </c>
      <c r="C29" s="176" t="s">
        <v>73</v>
      </c>
      <c r="D29" s="177">
        <f>Calculator!EB32</f>
        <v>46191.625</v>
      </c>
      <c r="E29" s="178"/>
      <c r="F29" s="178"/>
      <c r="G29" s="178"/>
      <c r="H29" s="179" t="str">
        <f>M11</f>
        <v>Switzerland</v>
      </c>
      <c r="I29" s="179"/>
      <c r="J29" s="173"/>
      <c r="K29" s="173"/>
      <c r="L29" s="179"/>
      <c r="M29" s="180" t="str">
        <f>M6</f>
        <v>Bosnia and Herzegovina</v>
      </c>
      <c r="N29" s="180"/>
      <c r="O29" s="180"/>
      <c r="P29" s="180"/>
      <c r="Q29" s="181" t="s">
        <v>522</v>
      </c>
      <c r="S29" s="141">
        <v>1</v>
      </c>
      <c r="T29" s="88" t="str">
        <f>INDEX(Calculator!C$31:C$34,MATCH($S29,Calculator!$B$31:$B$34,0),0)</f>
        <v>Germany</v>
      </c>
      <c r="U29" s="88"/>
      <c r="V29" s="73">
        <f>SUM(W29:Y29)</f>
        <v>0</v>
      </c>
      <c r="W29" s="73">
        <f>INDEX(Calculator!D$31:D$34,MATCH($S29,Calculator!$B$31:$B$34,0),0)</f>
        <v>0</v>
      </c>
      <c r="X29" s="73">
        <f>INDEX(Calculator!E$31:E$34,MATCH($S29,Calculator!$B$31:$B$34,0),0)</f>
        <v>0</v>
      </c>
      <c r="Y29" s="73">
        <f>INDEX(Calculator!F$31:F$34,MATCH($S29,Calculator!$B$31:$B$34,0),0)</f>
        <v>0</v>
      </c>
      <c r="Z29" s="73">
        <f>INDEX(Calculator!G$31:G$34,MATCH($S29,Calculator!$B$31:$B$34,0),0)</f>
        <v>0</v>
      </c>
      <c r="AA29" s="73">
        <f>INDEX(Calculator!H$31:H$34,MATCH($S29,Calculator!$B$31:$B$34,0),0)</f>
        <v>0</v>
      </c>
      <c r="AB29" s="142">
        <f>INDEX(Calculator!J$31:J$34,MATCH($S29,Calculator!$B$31:$B$34,0),0)</f>
        <v>0</v>
      </c>
      <c r="AC29" s="64"/>
      <c r="AD29" s="64"/>
      <c r="AF29" s="98"/>
      <c r="AG29" s="98"/>
      <c r="AH29" s="98"/>
      <c r="AI29" s="98"/>
      <c r="AJ29" s="98"/>
      <c r="AK29" s="98"/>
      <c r="AL29" s="98"/>
      <c r="CT29" s="101"/>
      <c r="CU29" s="101"/>
      <c r="CV29" s="63"/>
      <c r="CW29" s="101"/>
    </row>
    <row r="30" spans="2:101" s="60" customFormat="1" ht="13.5" customHeight="1" x14ac:dyDescent="0.25">
      <c r="B30" s="166">
        <v>27</v>
      </c>
      <c r="C30" s="169" t="s">
        <v>73</v>
      </c>
      <c r="D30" s="170">
        <f>Calculator!EB33</f>
        <v>46191.75</v>
      </c>
      <c r="E30" s="171"/>
      <c r="F30" s="171"/>
      <c r="G30" s="171"/>
      <c r="H30" s="172" t="str">
        <f>H6</f>
        <v>Canada</v>
      </c>
      <c r="I30" s="172"/>
      <c r="J30" s="173"/>
      <c r="K30" s="173"/>
      <c r="L30" s="172"/>
      <c r="M30" s="174" t="str">
        <f>H11</f>
        <v>Qatar</v>
      </c>
      <c r="N30" s="174"/>
      <c r="O30" s="174"/>
      <c r="P30" s="174"/>
      <c r="Q30" s="175" t="s">
        <v>524</v>
      </c>
      <c r="S30" s="141">
        <v>2</v>
      </c>
      <c r="T30" s="88" t="str">
        <f>INDEX(Calculator!C$31:C$34,MATCH($S30,Calculator!$B$31:$B$34,0),0)</f>
        <v>Ecuador</v>
      </c>
      <c r="U30" s="88"/>
      <c r="V30" s="73">
        <f t="shared" ref="V30:V32" si="4">SUM(W30:Y30)</f>
        <v>0</v>
      </c>
      <c r="W30" s="73">
        <f>INDEX(Calculator!D$31:D$34,MATCH($S30,Calculator!$B$31:$B$34,0),0)</f>
        <v>0</v>
      </c>
      <c r="X30" s="73">
        <f>INDEX(Calculator!E$31:E$34,MATCH($S30,Calculator!$B$31:$B$34,0),0)</f>
        <v>0</v>
      </c>
      <c r="Y30" s="73">
        <f>INDEX(Calculator!F$31:F$34,MATCH($S30,Calculator!$B$31:$B$34,0),0)</f>
        <v>0</v>
      </c>
      <c r="Z30" s="73">
        <f>INDEX(Calculator!G$31:G$34,MATCH($S30,Calculator!$B$31:$B$34,0),0)</f>
        <v>0</v>
      </c>
      <c r="AA30" s="73">
        <f>INDEX(Calculator!H$31:H$34,MATCH($S30,Calculator!$B$31:$B$34,0),0)</f>
        <v>0</v>
      </c>
      <c r="AB30" s="142">
        <f>INDEX(Calculator!J$31:J$34,MATCH($S30,Calculator!$B$31:$B$34,0),0)</f>
        <v>0</v>
      </c>
      <c r="AC30" s="64"/>
      <c r="AD30" s="64"/>
      <c r="AF30" s="98"/>
      <c r="AG30" s="98"/>
      <c r="AH30" s="98"/>
      <c r="AI30" s="98"/>
      <c r="AJ30" s="98"/>
      <c r="AK30" s="98"/>
      <c r="AL30" s="98"/>
      <c r="CT30" s="101"/>
      <c r="CU30" s="101"/>
      <c r="CV30" s="63"/>
      <c r="CW30" s="101"/>
    </row>
    <row r="31" spans="2:101" s="60" customFormat="1" ht="13.5" customHeight="1" x14ac:dyDescent="0.25">
      <c r="B31" s="166">
        <v>28</v>
      </c>
      <c r="C31" s="176" t="s">
        <v>72</v>
      </c>
      <c r="D31" s="177">
        <f>Calculator!EB34</f>
        <v>46191.875</v>
      </c>
      <c r="E31" s="178"/>
      <c r="F31" s="178"/>
      <c r="G31" s="178"/>
      <c r="H31" s="179" t="str">
        <f>H4</f>
        <v>Mexico</v>
      </c>
      <c r="I31" s="179"/>
      <c r="J31" s="173"/>
      <c r="K31" s="173"/>
      <c r="L31" s="179"/>
      <c r="M31" s="180" t="str">
        <f>H5</f>
        <v>Korea Republic</v>
      </c>
      <c r="N31" s="180"/>
      <c r="O31" s="180"/>
      <c r="P31" s="180"/>
      <c r="Q31" s="181" t="s">
        <v>520</v>
      </c>
      <c r="S31" s="121">
        <v>3</v>
      </c>
      <c r="T31" s="82" t="str">
        <f>INDEX(Calculator!C$31:C$34,MATCH($S31,Calculator!$B$31:$B$34,0),0)</f>
        <v>Cote D'Voire</v>
      </c>
      <c r="U31" s="82"/>
      <c r="V31" s="69">
        <f t="shared" si="4"/>
        <v>0</v>
      </c>
      <c r="W31" s="69">
        <f>INDEX(Calculator!D$31:D$34,MATCH($S31,Calculator!$B$31:$B$34,0),0)</f>
        <v>0</v>
      </c>
      <c r="X31" s="69">
        <f>INDEX(Calculator!E$31:E$34,MATCH($S31,Calculator!$B$31:$B$34,0),0)</f>
        <v>0</v>
      </c>
      <c r="Y31" s="69">
        <f>INDEX(Calculator!F$31:F$34,MATCH($S31,Calculator!$B$31:$B$34,0),0)</f>
        <v>0</v>
      </c>
      <c r="Z31" s="83">
        <f>INDEX(Calculator!G$31:G$34,MATCH($S31,Calculator!$B$31:$B$34,0),0)</f>
        <v>0</v>
      </c>
      <c r="AA31" s="83">
        <f>INDEX(Calculator!H$31:H$34,MATCH($S31,Calculator!$B$31:$B$34,0),0)</f>
        <v>0</v>
      </c>
      <c r="AB31" s="122">
        <f>INDEX(Calculator!J$31:J$34,MATCH($S31,Calculator!$B$31:$B$34,0),0)</f>
        <v>0</v>
      </c>
      <c r="AC31" s="64"/>
      <c r="AD31" s="64"/>
      <c r="AF31" s="98"/>
      <c r="AG31" s="98"/>
      <c r="AH31" s="98"/>
      <c r="AI31" s="98"/>
      <c r="AJ31" s="98"/>
      <c r="AK31" s="98"/>
      <c r="AL31" s="98"/>
      <c r="CT31" s="101"/>
      <c r="CU31" s="101"/>
      <c r="CV31" s="63"/>
      <c r="CW31" s="101"/>
    </row>
    <row r="32" spans="2:101" s="60" customFormat="1" ht="13.5" customHeight="1" x14ac:dyDescent="0.25">
      <c r="B32" s="166">
        <v>29</v>
      </c>
      <c r="C32" s="169" t="s">
        <v>74</v>
      </c>
      <c r="D32" s="170">
        <f>Calculator!EB35</f>
        <v>46192.854166666664</v>
      </c>
      <c r="E32" s="171"/>
      <c r="F32" s="171"/>
      <c r="G32" s="171"/>
      <c r="H32" s="172" t="str">
        <f>H10</f>
        <v>Brazil</v>
      </c>
      <c r="I32" s="172"/>
      <c r="J32" s="173"/>
      <c r="K32" s="173"/>
      <c r="L32" s="172"/>
      <c r="M32" s="174" t="str">
        <f>H8</f>
        <v>Haiti</v>
      </c>
      <c r="N32" s="174"/>
      <c r="O32" s="174"/>
      <c r="P32" s="174"/>
      <c r="Q32" s="175" t="s">
        <v>527</v>
      </c>
      <c r="S32" s="121">
        <v>4</v>
      </c>
      <c r="T32" s="82" t="str">
        <f>INDEX(Calculator!C$31:C$34,MATCH($S32,Calculator!$B$31:$B$34,0),0)</f>
        <v>Curacao</v>
      </c>
      <c r="U32" s="82"/>
      <c r="V32" s="69">
        <f t="shared" si="4"/>
        <v>0</v>
      </c>
      <c r="W32" s="69">
        <f>INDEX(Calculator!D$31:D$34,MATCH($S32,Calculator!$B$31:$B$34,0),0)</f>
        <v>0</v>
      </c>
      <c r="X32" s="69">
        <f>INDEX(Calculator!E$31:E$34,MATCH($S32,Calculator!$B$31:$B$34,0),0)</f>
        <v>0</v>
      </c>
      <c r="Y32" s="69">
        <f>INDEX(Calculator!F$31:F$34,MATCH($S32,Calculator!$B$31:$B$34,0),0)</f>
        <v>0</v>
      </c>
      <c r="Z32" s="83">
        <f>INDEX(Calculator!G$31:G$34,MATCH($S32,Calculator!$B$31:$B$34,0),0)</f>
        <v>0</v>
      </c>
      <c r="AA32" s="83">
        <f>INDEX(Calculator!H$31:H$34,MATCH($S32,Calculator!$B$31:$B$34,0),0)</f>
        <v>0</v>
      </c>
      <c r="AB32" s="122">
        <f>INDEX(Calculator!J$31:J$34,MATCH($S32,Calculator!$B$31:$B$34,0),0)</f>
        <v>0</v>
      </c>
      <c r="AC32" s="64"/>
      <c r="AD32" s="64"/>
      <c r="AF32" s="98"/>
      <c r="AG32" s="98"/>
      <c r="AH32" s="98"/>
      <c r="AI32" s="98"/>
      <c r="AJ32" s="98"/>
      <c r="AK32" s="98"/>
      <c r="AL32" s="98"/>
      <c r="CT32" s="101"/>
      <c r="CU32" s="101"/>
      <c r="CV32" s="63"/>
      <c r="CW32" s="101"/>
    </row>
    <row r="33" spans="2:101" s="60" customFormat="1" ht="13.5" customHeight="1" x14ac:dyDescent="0.25">
      <c r="B33" s="166">
        <v>30</v>
      </c>
      <c r="C33" s="176" t="s">
        <v>74</v>
      </c>
      <c r="D33" s="177">
        <f>Calculator!EB36</f>
        <v>46192.75</v>
      </c>
      <c r="E33" s="178"/>
      <c r="F33" s="178"/>
      <c r="G33" s="178"/>
      <c r="H33" s="179" t="str">
        <f>M8</f>
        <v>Scotland</v>
      </c>
      <c r="I33" s="179"/>
      <c r="J33" s="173"/>
      <c r="K33" s="173"/>
      <c r="L33" s="179"/>
      <c r="M33" s="180" t="str">
        <f>M10</f>
        <v>Morocco</v>
      </c>
      <c r="N33" s="180"/>
      <c r="O33" s="180"/>
      <c r="P33" s="180"/>
      <c r="Q33" s="181" t="s">
        <v>523</v>
      </c>
      <c r="S33" s="135"/>
      <c r="T33" s="84"/>
      <c r="U33" s="84"/>
      <c r="V33" s="6"/>
      <c r="W33" s="6"/>
      <c r="X33" s="6"/>
      <c r="Y33" s="6"/>
      <c r="Z33" s="6"/>
      <c r="AA33" s="6"/>
      <c r="AB33" s="136"/>
      <c r="AC33" s="64"/>
      <c r="AD33" s="64"/>
      <c r="AF33" s="98"/>
      <c r="AG33" s="98"/>
      <c r="AH33" s="98"/>
      <c r="AI33" s="98"/>
      <c r="AJ33" s="98"/>
      <c r="AK33" s="98"/>
      <c r="AL33" s="98"/>
      <c r="CT33" s="101"/>
      <c r="CU33" s="101"/>
      <c r="CV33" s="63"/>
      <c r="CW33" s="101"/>
    </row>
    <row r="34" spans="2:101" s="60" customFormat="1" ht="13.5" customHeight="1" x14ac:dyDescent="0.25">
      <c r="B34" s="166">
        <v>31</v>
      </c>
      <c r="C34" s="169" t="s">
        <v>69</v>
      </c>
      <c r="D34" s="170">
        <f>Calculator!EB37</f>
        <v>46192.958333333336</v>
      </c>
      <c r="E34" s="171"/>
      <c r="F34" s="171"/>
      <c r="G34" s="171"/>
      <c r="H34" s="172" t="str">
        <f>M9</f>
        <v>Türkiye</v>
      </c>
      <c r="I34" s="172"/>
      <c r="J34" s="173"/>
      <c r="K34" s="173"/>
      <c r="L34" s="172"/>
      <c r="M34" s="174" t="str">
        <f>M7</f>
        <v>Paraguay</v>
      </c>
      <c r="N34" s="174"/>
      <c r="O34" s="174"/>
      <c r="P34" s="174"/>
      <c r="Q34" s="175" t="s">
        <v>526</v>
      </c>
      <c r="S34" s="131" t="str">
        <f>INDEX(Language!$A$1:$K$177,MATCH("Group F",Language!$B$1:$B$177,0),MATCH(Setup!$C$5,Language!$A$1:$J$1,0))</f>
        <v>Group F</v>
      </c>
      <c r="T34" s="114"/>
      <c r="U34" s="114"/>
      <c r="V34" s="113" t="s">
        <v>67</v>
      </c>
      <c r="W34" s="113" t="s">
        <v>68</v>
      </c>
      <c r="X34" s="113" t="s">
        <v>69</v>
      </c>
      <c r="Y34" s="113" t="s">
        <v>70</v>
      </c>
      <c r="Z34" s="113" t="s">
        <v>75</v>
      </c>
      <c r="AA34" s="113" t="s">
        <v>72</v>
      </c>
      <c r="AB34" s="132" t="s">
        <v>71</v>
      </c>
      <c r="AC34" s="64"/>
      <c r="AD34" s="64"/>
      <c r="AF34" s="98"/>
      <c r="AG34" s="98"/>
      <c r="AH34" s="98"/>
      <c r="AI34" s="98"/>
      <c r="AJ34" s="98"/>
      <c r="AK34" s="98"/>
      <c r="AL34" s="98"/>
      <c r="CT34" s="101"/>
      <c r="CU34" s="101"/>
      <c r="CV34" s="63"/>
      <c r="CW34" s="101"/>
    </row>
    <row r="35" spans="2:101" s="60" customFormat="1" ht="13.5" customHeight="1" x14ac:dyDescent="0.25">
      <c r="B35" s="166">
        <v>32</v>
      </c>
      <c r="C35" s="176" t="s">
        <v>69</v>
      </c>
      <c r="D35" s="177">
        <f>Calculator!EB38</f>
        <v>46192.625</v>
      </c>
      <c r="E35" s="178"/>
      <c r="F35" s="178"/>
      <c r="G35" s="178"/>
      <c r="H35" s="179" t="str">
        <f>H7</f>
        <v>USA</v>
      </c>
      <c r="I35" s="179"/>
      <c r="J35" s="173"/>
      <c r="K35" s="173"/>
      <c r="L35" s="179"/>
      <c r="M35" s="180" t="str">
        <f>H9</f>
        <v>Australia</v>
      </c>
      <c r="N35" s="180"/>
      <c r="O35" s="180"/>
      <c r="P35" s="180"/>
      <c r="Q35" s="181" t="s">
        <v>533</v>
      </c>
      <c r="S35" s="143">
        <v>1</v>
      </c>
      <c r="T35" s="89" t="str">
        <f>INDEX(Calculator!C$37:C$397,MATCH($S35,Calculator!$B$37:$B$397,0),0)</f>
        <v>Netherlands</v>
      </c>
      <c r="U35" s="89"/>
      <c r="V35" s="74">
        <f>SUM(W35:Y35)</f>
        <v>0</v>
      </c>
      <c r="W35" s="74">
        <f>INDEX(Calculator!D$37:D$397,MATCH($S35,Calculator!$B$37:$B$397,0),0)</f>
        <v>0</v>
      </c>
      <c r="X35" s="74">
        <f>INDEX(Calculator!E$37:E$397,MATCH($S35,Calculator!$B$37:$B$397,0),0)</f>
        <v>0</v>
      </c>
      <c r="Y35" s="74">
        <f>INDEX(Calculator!F$37:F$397,MATCH($S35,Calculator!$B$37:$B$397,0),0)</f>
        <v>0</v>
      </c>
      <c r="Z35" s="74">
        <f>INDEX(Calculator!G$37:G$397,MATCH($S35,Calculator!$B$37:$B$397,0),0)</f>
        <v>0</v>
      </c>
      <c r="AA35" s="74">
        <f>INDEX(Calculator!H$37:H$397,MATCH($S35,Calculator!$B$37:$B$397,0),0)</f>
        <v>0</v>
      </c>
      <c r="AB35" s="144">
        <f>INDEX(Calculator!J$37:J$397,MATCH($S35,Calculator!$B$37:$B$397,0),0)</f>
        <v>0</v>
      </c>
      <c r="AC35" s="64"/>
      <c r="AD35" s="64"/>
      <c r="AF35" s="98"/>
      <c r="AG35" s="98"/>
      <c r="AH35" s="98"/>
      <c r="AI35" s="98"/>
      <c r="AJ35" s="98"/>
      <c r="AK35" s="98"/>
      <c r="AL35" s="98"/>
      <c r="CT35" s="101"/>
      <c r="CU35" s="101"/>
      <c r="CV35" s="63"/>
      <c r="CW35" s="101"/>
    </row>
    <row r="36" spans="2:101" s="60" customFormat="1" ht="13.5" customHeight="1" x14ac:dyDescent="0.25">
      <c r="B36" s="166">
        <v>33</v>
      </c>
      <c r="C36" s="169" t="s">
        <v>76</v>
      </c>
      <c r="D36" s="170">
        <f>Calculator!EB39</f>
        <v>46193.666666666664</v>
      </c>
      <c r="E36" s="171"/>
      <c r="F36" s="171"/>
      <c r="G36" s="171"/>
      <c r="H36" s="172" t="str">
        <f>H13</f>
        <v>Germany</v>
      </c>
      <c r="I36" s="172"/>
      <c r="J36" s="173"/>
      <c r="K36" s="173"/>
      <c r="L36" s="172"/>
      <c r="M36" s="174" t="str">
        <f>H12</f>
        <v>Cote D'Voire</v>
      </c>
      <c r="N36" s="174"/>
      <c r="O36" s="174"/>
      <c r="P36" s="174"/>
      <c r="Q36" s="175" t="s">
        <v>521</v>
      </c>
      <c r="S36" s="143">
        <v>2</v>
      </c>
      <c r="T36" s="89" t="str">
        <f>INDEX(Calculator!C$37:C$397,MATCH($S36,Calculator!$B$37:$B$397,0),0)</f>
        <v>Japan</v>
      </c>
      <c r="U36" s="89"/>
      <c r="V36" s="74">
        <f t="shared" ref="V36:V38" si="5">SUM(W36:Y36)</f>
        <v>0</v>
      </c>
      <c r="W36" s="74">
        <f>INDEX(Calculator!D$37:D$397,MATCH($S36,Calculator!$B$37:$B$397,0),0)</f>
        <v>0</v>
      </c>
      <c r="X36" s="74">
        <f>INDEX(Calculator!E$37:E$397,MATCH($S36,Calculator!$B$37:$B$397,0),0)</f>
        <v>0</v>
      </c>
      <c r="Y36" s="74">
        <f>INDEX(Calculator!F$37:F$397,MATCH($S36,Calculator!$B$37:$B$397,0),0)</f>
        <v>0</v>
      </c>
      <c r="Z36" s="74">
        <f>INDEX(Calculator!G$37:G$397,MATCH($S36,Calculator!$B$37:$B$397,0),0)</f>
        <v>0</v>
      </c>
      <c r="AA36" s="74">
        <f>INDEX(Calculator!H$37:H$397,MATCH($S36,Calculator!$B$37:$B$397,0),0)</f>
        <v>0</v>
      </c>
      <c r="AB36" s="144">
        <f>INDEX(Calculator!J$37:J$397,MATCH($S36,Calculator!$B$37:$B$397,0),0)</f>
        <v>0</v>
      </c>
      <c r="AC36" s="64"/>
      <c r="AD36" s="64"/>
      <c r="AF36" s="98"/>
      <c r="AG36" s="98"/>
      <c r="AH36" s="98"/>
      <c r="AI36" s="98"/>
      <c r="AJ36" s="98"/>
      <c r="AK36" s="98"/>
      <c r="AL36" s="98"/>
      <c r="CT36" s="101"/>
      <c r="CU36" s="101"/>
      <c r="CV36" s="63"/>
      <c r="CW36" s="101"/>
    </row>
    <row r="37" spans="2:101" s="60" customFormat="1" ht="13.5" customHeight="1" x14ac:dyDescent="0.25">
      <c r="B37" s="166">
        <v>34</v>
      </c>
      <c r="C37" s="176" t="s">
        <v>76</v>
      </c>
      <c r="D37" s="177">
        <f>Calculator!EB40</f>
        <v>46193.833333333336</v>
      </c>
      <c r="E37" s="178"/>
      <c r="F37" s="178"/>
      <c r="G37" s="178"/>
      <c r="H37" s="179" t="str">
        <f>M12</f>
        <v>Ecuador</v>
      </c>
      <c r="I37" s="179"/>
      <c r="J37" s="173"/>
      <c r="K37" s="173"/>
      <c r="L37" s="179"/>
      <c r="M37" s="180" t="str">
        <f>M13</f>
        <v>Curacao</v>
      </c>
      <c r="N37" s="180"/>
      <c r="O37" s="180"/>
      <c r="P37" s="180"/>
      <c r="Q37" s="181" t="s">
        <v>534</v>
      </c>
      <c r="S37" s="121">
        <v>3</v>
      </c>
      <c r="T37" s="82" t="str">
        <f>INDEX(Calculator!C$37:C$397,MATCH($S37,Calculator!$B$37:$B$397,0),0)</f>
        <v>Sweden</v>
      </c>
      <c r="U37" s="82"/>
      <c r="V37" s="69">
        <f t="shared" si="5"/>
        <v>0</v>
      </c>
      <c r="W37" s="69">
        <f>INDEX(Calculator!D$37:D$397,MATCH($S37,Calculator!$B$37:$B$397,0),0)</f>
        <v>0</v>
      </c>
      <c r="X37" s="69">
        <f>INDEX(Calculator!E$37:E$397,MATCH($S37,Calculator!$B$37:$B$397,0),0)</f>
        <v>0</v>
      </c>
      <c r="Y37" s="69">
        <f>INDEX(Calculator!F$37:F$397,MATCH($S37,Calculator!$B$37:$B$397,0),0)</f>
        <v>0</v>
      </c>
      <c r="Z37" s="83">
        <f>INDEX(Calculator!G$37:G$397,MATCH($S37,Calculator!$B$37:$B$397,0),0)</f>
        <v>0</v>
      </c>
      <c r="AA37" s="83">
        <f>INDEX(Calculator!H$37:H$397,MATCH($S37,Calculator!$B$37:$B$397,0),0)</f>
        <v>0</v>
      </c>
      <c r="AB37" s="122">
        <f>INDEX(Calculator!J$37:J$397,MATCH($S37,Calculator!$B$37:$B$397,0),0)</f>
        <v>0</v>
      </c>
      <c r="AC37" s="64"/>
      <c r="AD37" s="64"/>
      <c r="AF37" s="98"/>
      <c r="AG37" s="98"/>
      <c r="AH37" s="98"/>
      <c r="AI37" s="98"/>
      <c r="AJ37" s="98"/>
      <c r="AK37" s="98"/>
      <c r="AL37" s="98"/>
      <c r="CT37" s="101"/>
      <c r="CU37" s="101"/>
      <c r="CV37" s="63"/>
      <c r="CW37" s="101"/>
    </row>
    <row r="38" spans="2:101" s="60" customFormat="1" ht="13.5" customHeight="1" x14ac:dyDescent="0.25">
      <c r="B38" s="166">
        <v>35</v>
      </c>
      <c r="C38" s="169" t="s">
        <v>75</v>
      </c>
      <c r="D38" s="170">
        <f>Calculator!EB41</f>
        <v>46193.541666666664</v>
      </c>
      <c r="E38" s="171"/>
      <c r="F38" s="171"/>
      <c r="G38" s="171"/>
      <c r="H38" s="172" t="str">
        <f>H14</f>
        <v>Netherlands</v>
      </c>
      <c r="I38" s="172"/>
      <c r="J38" s="173"/>
      <c r="K38" s="173"/>
      <c r="L38" s="172"/>
      <c r="M38" s="174" t="str">
        <f>H15</f>
        <v>Sweden</v>
      </c>
      <c r="N38" s="174"/>
      <c r="O38" s="174"/>
      <c r="P38" s="174"/>
      <c r="Q38" s="175" t="s">
        <v>528</v>
      </c>
      <c r="S38" s="121">
        <v>4</v>
      </c>
      <c r="T38" s="82" t="str">
        <f>INDEX(Calculator!C$37:C$397,MATCH($S38,Calculator!$B$37:$B$397,0),0)</f>
        <v>Tunisia</v>
      </c>
      <c r="U38" s="82"/>
      <c r="V38" s="69">
        <f t="shared" si="5"/>
        <v>0</v>
      </c>
      <c r="W38" s="69">
        <f>INDEX(Calculator!D$37:D$397,MATCH($S38,Calculator!$B$37:$B$397,0),0)</f>
        <v>0</v>
      </c>
      <c r="X38" s="69">
        <f>INDEX(Calculator!E$37:E$397,MATCH($S38,Calculator!$B$37:$B$397,0),0)</f>
        <v>0</v>
      </c>
      <c r="Y38" s="69">
        <f>INDEX(Calculator!F$37:F$397,MATCH($S38,Calculator!$B$37:$B$397,0),0)</f>
        <v>0</v>
      </c>
      <c r="Z38" s="83">
        <f>INDEX(Calculator!G$37:G$397,MATCH($S38,Calculator!$B$37:$B$397,0),0)</f>
        <v>0</v>
      </c>
      <c r="AA38" s="83">
        <f>INDEX(Calculator!H$37:H$397,MATCH($S38,Calculator!$B$37:$B$397,0),0)</f>
        <v>0</v>
      </c>
      <c r="AB38" s="122">
        <f>INDEX(Calculator!J$37:J$397,MATCH($S38,Calculator!$B$37:$B$397,0),0)</f>
        <v>0</v>
      </c>
      <c r="AC38" s="64"/>
      <c r="AD38" s="64"/>
      <c r="AF38" s="98"/>
      <c r="AG38" s="98"/>
      <c r="AH38" s="98"/>
      <c r="AI38" s="98"/>
      <c r="AJ38" s="98"/>
      <c r="AK38" s="98"/>
      <c r="AL38" s="98"/>
      <c r="CT38" s="101"/>
      <c r="CU38" s="101"/>
      <c r="CV38" s="63"/>
      <c r="CW38" s="101"/>
    </row>
    <row r="39" spans="2:101" s="60" customFormat="1" ht="13.5" customHeight="1" x14ac:dyDescent="0.25">
      <c r="B39" s="166">
        <v>36</v>
      </c>
      <c r="C39" s="176" t="s">
        <v>75</v>
      </c>
      <c r="D39" s="177">
        <f>Calculator!EB42</f>
        <v>46193</v>
      </c>
      <c r="E39" s="178"/>
      <c r="F39" s="178"/>
      <c r="G39" s="178"/>
      <c r="H39" s="179" t="str">
        <f>M15</f>
        <v>Tunisia</v>
      </c>
      <c r="I39" s="179"/>
      <c r="J39" s="173"/>
      <c r="K39" s="173"/>
      <c r="L39" s="179"/>
      <c r="M39" s="180" t="str">
        <f>M14</f>
        <v>Japan</v>
      </c>
      <c r="N39" s="180"/>
      <c r="O39" s="180"/>
      <c r="P39" s="180"/>
      <c r="Q39" s="181" t="s">
        <v>530</v>
      </c>
      <c r="S39" s="135"/>
      <c r="T39" s="84"/>
      <c r="U39" s="84"/>
      <c r="V39" s="6"/>
      <c r="W39" s="6"/>
      <c r="X39" s="6"/>
      <c r="Y39" s="6"/>
      <c r="Z39" s="6"/>
      <c r="AA39" s="6"/>
      <c r="AB39" s="136"/>
      <c r="AC39" s="64"/>
      <c r="AD39" s="64"/>
      <c r="AF39" s="98"/>
      <c r="AG39" s="98"/>
      <c r="AH39" s="98"/>
      <c r="AI39" s="98"/>
      <c r="AJ39" s="98"/>
      <c r="AK39" s="98"/>
      <c r="AL39" s="98"/>
      <c r="CT39" s="101"/>
      <c r="CU39" s="101"/>
      <c r="CV39" s="63"/>
      <c r="CW39" s="101"/>
    </row>
    <row r="40" spans="2:101" s="60" customFormat="1" ht="13.5" customHeight="1" x14ac:dyDescent="0.25">
      <c r="B40" s="166">
        <v>37</v>
      </c>
      <c r="C40" s="169" t="s">
        <v>78</v>
      </c>
      <c r="D40" s="170">
        <f>Calculator!EB43</f>
        <v>46194.75</v>
      </c>
      <c r="E40" s="171"/>
      <c r="F40" s="171"/>
      <c r="G40" s="171"/>
      <c r="H40" s="172" t="str">
        <f>M16</f>
        <v>Uruguay</v>
      </c>
      <c r="I40" s="172"/>
      <c r="J40" s="173"/>
      <c r="K40" s="173"/>
      <c r="L40" s="172"/>
      <c r="M40" s="174" t="str">
        <f>M17</f>
        <v>Cabo Verde</v>
      </c>
      <c r="N40" s="174"/>
      <c r="O40" s="174"/>
      <c r="P40" s="174"/>
      <c r="Q40" s="175" t="s">
        <v>531</v>
      </c>
      <c r="S40" s="131" t="str">
        <f>INDEX(Language!$A$1:$K$177,MATCH("Group G",Language!$B$1:$B$177,0),MATCH(Setup!$C$5,Language!$A$1:$J$1,0))</f>
        <v>Group G</v>
      </c>
      <c r="T40" s="114"/>
      <c r="U40" s="114"/>
      <c r="V40" s="113" t="s">
        <v>67</v>
      </c>
      <c r="W40" s="113" t="s">
        <v>68</v>
      </c>
      <c r="X40" s="113" t="s">
        <v>69</v>
      </c>
      <c r="Y40" s="113" t="s">
        <v>70</v>
      </c>
      <c r="Z40" s="113" t="s">
        <v>75</v>
      </c>
      <c r="AA40" s="113" t="s">
        <v>72</v>
      </c>
      <c r="AB40" s="132" t="s">
        <v>71</v>
      </c>
      <c r="AC40" s="64"/>
      <c r="AD40" s="64"/>
      <c r="AF40" s="98"/>
      <c r="AG40" s="98"/>
      <c r="AH40" s="98"/>
      <c r="AI40" s="98"/>
      <c r="AJ40" s="98"/>
      <c r="AK40" s="98"/>
      <c r="AL40" s="98"/>
      <c r="CT40" s="101"/>
      <c r="CU40" s="101"/>
      <c r="CV40" s="63"/>
      <c r="CW40" s="101"/>
    </row>
    <row r="41" spans="2:101" s="60" customFormat="1" ht="13.5" customHeight="1" x14ac:dyDescent="0.25">
      <c r="B41" s="166">
        <v>38</v>
      </c>
      <c r="C41" s="176" t="s">
        <v>78</v>
      </c>
      <c r="D41" s="177">
        <f>Calculator!EB44</f>
        <v>46194.5</v>
      </c>
      <c r="E41" s="178"/>
      <c r="F41" s="178"/>
      <c r="G41" s="178"/>
      <c r="H41" s="179" t="str">
        <f>H17</f>
        <v>Spain</v>
      </c>
      <c r="I41" s="179"/>
      <c r="J41" s="173"/>
      <c r="K41" s="173"/>
      <c r="L41" s="179"/>
      <c r="M41" s="180" t="str">
        <f>H16</f>
        <v>Saudi Arabia</v>
      </c>
      <c r="N41" s="180"/>
      <c r="O41" s="180"/>
      <c r="P41" s="180"/>
      <c r="Q41" s="181" t="s">
        <v>532</v>
      </c>
      <c r="S41" s="145">
        <v>1</v>
      </c>
      <c r="T41" s="90" t="str">
        <f>INDEX(Calculator!C$43:C$46,MATCH($S41,Calculator!$B$43:$B$46,0),0)</f>
        <v>Belgium</v>
      </c>
      <c r="U41" s="90"/>
      <c r="V41" s="75">
        <f>SUM(W41:Y41)</f>
        <v>0</v>
      </c>
      <c r="W41" s="75">
        <f>INDEX(Calculator!D$43:D$46,MATCH($S41,Calculator!$B$43:$B$46,0),0)</f>
        <v>0</v>
      </c>
      <c r="X41" s="75">
        <f>INDEX(Calculator!E$43:E$46,MATCH($S41,Calculator!$B$43:$B$46,0),0)</f>
        <v>0</v>
      </c>
      <c r="Y41" s="75">
        <f>INDEX(Calculator!F$43:F$46,MATCH($S41,Calculator!$B$43:$B$46,0),0)</f>
        <v>0</v>
      </c>
      <c r="Z41" s="75">
        <f>INDEX(Calculator!G$43:G$46,MATCH($S41,Calculator!$B$43:$B$46,0),0)</f>
        <v>0</v>
      </c>
      <c r="AA41" s="75">
        <f>INDEX(Calculator!H$43:H$46,MATCH($S41,Calculator!$B$43:$B$46,0),0)</f>
        <v>0</v>
      </c>
      <c r="AB41" s="146">
        <f>INDEX(Calculator!J$43:J$46,MATCH($S41,Calculator!$B$43:$B$46,0),0)</f>
        <v>0</v>
      </c>
      <c r="AC41" s="64"/>
      <c r="AD41" s="64"/>
      <c r="AF41" s="98"/>
      <c r="AG41" s="98"/>
      <c r="AH41" s="98"/>
      <c r="AI41" s="98"/>
      <c r="AJ41" s="98"/>
      <c r="AK41" s="98"/>
      <c r="AL41" s="98"/>
      <c r="CT41" s="101"/>
      <c r="CU41" s="101"/>
      <c r="CV41" s="63"/>
      <c r="CW41" s="101"/>
    </row>
    <row r="42" spans="2:101" s="60" customFormat="1" ht="13.5" customHeight="1" x14ac:dyDescent="0.25">
      <c r="B42" s="166">
        <v>39</v>
      </c>
      <c r="C42" s="169" t="s">
        <v>77</v>
      </c>
      <c r="D42" s="170">
        <f>Calculator!EB45</f>
        <v>46194.625</v>
      </c>
      <c r="E42" s="171"/>
      <c r="F42" s="171"/>
      <c r="G42" s="171"/>
      <c r="H42" s="172" t="str">
        <f>H19</f>
        <v>Belgium</v>
      </c>
      <c r="I42" s="172"/>
      <c r="J42" s="173"/>
      <c r="K42" s="173"/>
      <c r="L42" s="172"/>
      <c r="M42" s="174" t="str">
        <f>H18</f>
        <v>Iran</v>
      </c>
      <c r="N42" s="174"/>
      <c r="O42" s="174"/>
      <c r="P42" s="174"/>
      <c r="Q42" s="175" t="s">
        <v>522</v>
      </c>
      <c r="S42" s="145">
        <v>2</v>
      </c>
      <c r="T42" s="90" t="str">
        <f>INDEX(Calculator!C$43:C$46,MATCH($S42,Calculator!$B$43:$B$46,0),0)</f>
        <v>Iran</v>
      </c>
      <c r="U42" s="90"/>
      <c r="V42" s="75">
        <f t="shared" ref="V42:V44" si="6">SUM(W42:Y42)</f>
        <v>0</v>
      </c>
      <c r="W42" s="75">
        <f>INDEX(Calculator!D$43:D$46,MATCH($S42,Calculator!$B$43:$B$46,0),0)</f>
        <v>0</v>
      </c>
      <c r="X42" s="75">
        <f>INDEX(Calculator!E$43:E$46,MATCH($S42,Calculator!$B$43:$B$46,0),0)</f>
        <v>0</v>
      </c>
      <c r="Y42" s="75">
        <f>INDEX(Calculator!F$43:F$46,MATCH($S42,Calculator!$B$43:$B$46,0),0)</f>
        <v>0</v>
      </c>
      <c r="Z42" s="75">
        <f>INDEX(Calculator!G$43:G$46,MATCH($S42,Calculator!$B$43:$B$46,0),0)</f>
        <v>0</v>
      </c>
      <c r="AA42" s="75">
        <f>INDEX(Calculator!H$43:H$46,MATCH($S42,Calculator!$B$43:$B$46,0),0)</f>
        <v>0</v>
      </c>
      <c r="AB42" s="146">
        <f>INDEX(Calculator!J$43:J$46,MATCH($S42,Calculator!$B$43:$B$46,0),0)</f>
        <v>0</v>
      </c>
      <c r="AC42" s="64"/>
      <c r="AD42" s="64"/>
      <c r="AF42" s="98"/>
      <c r="AG42" s="98"/>
      <c r="AH42" s="98"/>
      <c r="AI42" s="98"/>
      <c r="AJ42" s="98"/>
      <c r="AK42" s="98"/>
      <c r="AL42" s="98"/>
      <c r="CT42" s="101"/>
      <c r="CU42" s="101"/>
      <c r="CV42" s="63"/>
      <c r="CW42" s="101"/>
    </row>
    <row r="43" spans="2:101" s="60" customFormat="1" ht="13.5" customHeight="1" x14ac:dyDescent="0.25">
      <c r="B43" s="166">
        <v>40</v>
      </c>
      <c r="C43" s="176" t="s">
        <v>77</v>
      </c>
      <c r="D43" s="177">
        <f>Calculator!EB46</f>
        <v>46194.875</v>
      </c>
      <c r="E43" s="178"/>
      <c r="F43" s="178"/>
      <c r="G43" s="178"/>
      <c r="H43" s="179" t="str">
        <f>M18</f>
        <v>New Zealand</v>
      </c>
      <c r="I43" s="179"/>
      <c r="J43" s="173"/>
      <c r="K43" s="173"/>
      <c r="L43" s="179"/>
      <c r="M43" s="180" t="str">
        <f>M19</f>
        <v>Egypt</v>
      </c>
      <c r="N43" s="180"/>
      <c r="O43" s="180"/>
      <c r="P43" s="180"/>
      <c r="Q43" s="181" t="s">
        <v>524</v>
      </c>
      <c r="S43" s="121">
        <v>3</v>
      </c>
      <c r="T43" s="82" t="str">
        <f>INDEX(Calculator!C$43:C$46,MATCH($S43,Calculator!$B$43:$B$46,0),0)</f>
        <v>Egypt</v>
      </c>
      <c r="U43" s="82"/>
      <c r="V43" s="69">
        <f t="shared" si="6"/>
        <v>0</v>
      </c>
      <c r="W43" s="69">
        <f>INDEX(Calculator!D$43:D$46,MATCH($S43,Calculator!$B$43:$B$46,0),0)</f>
        <v>0</v>
      </c>
      <c r="X43" s="69">
        <f>INDEX(Calculator!E$43:E$46,MATCH($S43,Calculator!$B$43:$B$46,0),0)</f>
        <v>0</v>
      </c>
      <c r="Y43" s="69">
        <f>INDEX(Calculator!F$43:F$46,MATCH($S43,Calculator!$B$43:$B$46,0),0)</f>
        <v>0</v>
      </c>
      <c r="Z43" s="83">
        <f>INDEX(Calculator!G$43:G$46,MATCH($S43,Calculator!$B$43:$B$46,0),0)</f>
        <v>0</v>
      </c>
      <c r="AA43" s="83">
        <f>INDEX(Calculator!H$43:H$46,MATCH($S43,Calculator!$B$43:$B$46,0),0)</f>
        <v>0</v>
      </c>
      <c r="AB43" s="122">
        <f>INDEX(Calculator!J$43:J$46,MATCH($S43,Calculator!$B$43:$B$46,0),0)</f>
        <v>0</v>
      </c>
      <c r="AC43" s="64"/>
      <c r="AD43" s="64"/>
      <c r="AF43" s="98"/>
      <c r="AG43" s="98"/>
      <c r="AH43" s="98"/>
      <c r="AI43" s="98"/>
      <c r="AJ43" s="98"/>
      <c r="AK43" s="98"/>
      <c r="AL43" s="98"/>
      <c r="CT43" s="101"/>
      <c r="CU43" s="101"/>
      <c r="CV43" s="63"/>
      <c r="CW43" s="101"/>
    </row>
    <row r="44" spans="2:101" s="60" customFormat="1" ht="13.5" customHeight="1" x14ac:dyDescent="0.25">
      <c r="B44" s="166">
        <v>41</v>
      </c>
      <c r="C44" s="169" t="s">
        <v>515</v>
      </c>
      <c r="D44" s="170">
        <f>Calculator!EB47</f>
        <v>46195.833333333336</v>
      </c>
      <c r="E44" s="171"/>
      <c r="F44" s="171"/>
      <c r="G44" s="171"/>
      <c r="H44" s="172" t="str">
        <f>M21</f>
        <v>Norway</v>
      </c>
      <c r="I44" s="172"/>
      <c r="J44" s="173"/>
      <c r="K44" s="173"/>
      <c r="L44" s="172"/>
      <c r="M44" s="174" t="str">
        <f>M20</f>
        <v>Senegal</v>
      </c>
      <c r="N44" s="174"/>
      <c r="O44" s="174"/>
      <c r="P44" s="174"/>
      <c r="Q44" s="175" t="s">
        <v>535</v>
      </c>
      <c r="S44" s="121">
        <v>4</v>
      </c>
      <c r="T44" s="82" t="str">
        <f>INDEX(Calculator!C$43:C$46,MATCH($S44,Calculator!$B$43:$B$46,0),0)</f>
        <v>New Zealand</v>
      </c>
      <c r="U44" s="82"/>
      <c r="V44" s="69">
        <f t="shared" si="6"/>
        <v>0</v>
      </c>
      <c r="W44" s="69">
        <f>INDEX(Calculator!D$43:D$46,MATCH($S44,Calculator!$B$43:$B$46,0),0)</f>
        <v>0</v>
      </c>
      <c r="X44" s="69">
        <f>INDEX(Calculator!E$43:E$46,MATCH($S44,Calculator!$B$43:$B$46,0),0)</f>
        <v>0</v>
      </c>
      <c r="Y44" s="69">
        <f>INDEX(Calculator!F$43:F$46,MATCH($S44,Calculator!$B$43:$B$46,0),0)</f>
        <v>0</v>
      </c>
      <c r="Z44" s="83">
        <f>INDEX(Calculator!G$43:G$46,MATCH($S44,Calculator!$B$43:$B$46,0),0)</f>
        <v>0</v>
      </c>
      <c r="AA44" s="83">
        <f>INDEX(Calculator!H$43:H$46,MATCH($S44,Calculator!$B$43:$B$46,0),0)</f>
        <v>0</v>
      </c>
      <c r="AB44" s="122">
        <f>INDEX(Calculator!J$43:J$46,MATCH($S44,Calculator!$B$43:$B$46,0),0)</f>
        <v>0</v>
      </c>
      <c r="AC44" s="64"/>
      <c r="AD44" s="64"/>
      <c r="AF44" s="98"/>
      <c r="AG44" s="98"/>
      <c r="AH44" s="98"/>
      <c r="AI44" s="98"/>
      <c r="AJ44" s="98"/>
      <c r="AK44" s="98"/>
      <c r="AL44" s="98"/>
      <c r="CT44" s="101"/>
      <c r="CU44" s="101"/>
      <c r="CV44" s="63"/>
      <c r="CW44" s="101"/>
    </row>
    <row r="45" spans="2:101" s="60" customFormat="1" ht="13.5" customHeight="1" x14ac:dyDescent="0.25">
      <c r="B45" s="166">
        <v>42</v>
      </c>
      <c r="C45" s="176" t="s">
        <v>515</v>
      </c>
      <c r="D45" s="177">
        <f>Calculator!EB48</f>
        <v>46195.708333333336</v>
      </c>
      <c r="E45" s="178"/>
      <c r="F45" s="178"/>
      <c r="G45" s="178"/>
      <c r="H45" s="179" t="str">
        <f>H20</f>
        <v>France</v>
      </c>
      <c r="I45" s="179"/>
      <c r="J45" s="173"/>
      <c r="K45" s="173"/>
      <c r="L45" s="179"/>
      <c r="M45" s="180" t="str">
        <f>H21</f>
        <v>Iraq</v>
      </c>
      <c r="N45" s="180"/>
      <c r="O45" s="180"/>
      <c r="P45" s="180"/>
      <c r="Q45" s="181" t="s">
        <v>527</v>
      </c>
      <c r="S45" s="135"/>
      <c r="T45" s="84"/>
      <c r="U45" s="84"/>
      <c r="V45" s="6"/>
      <c r="W45" s="6"/>
      <c r="X45" s="6"/>
      <c r="Y45" s="6"/>
      <c r="Z45" s="6"/>
      <c r="AA45" s="6"/>
      <c r="AB45" s="136"/>
      <c r="AC45" s="64"/>
      <c r="AD45" s="64"/>
      <c r="AF45" s="98"/>
      <c r="AG45" s="98"/>
      <c r="AH45" s="98"/>
      <c r="AI45" s="98"/>
      <c r="AJ45" s="98"/>
      <c r="AK45" s="98"/>
      <c r="AL45" s="98"/>
      <c r="CT45" s="101"/>
      <c r="CU45" s="101"/>
      <c r="CV45" s="63"/>
      <c r="CW45" s="101"/>
    </row>
    <row r="46" spans="2:101" s="60" customFormat="1" ht="13.5" customHeight="1" x14ac:dyDescent="0.25">
      <c r="B46" s="166">
        <v>43</v>
      </c>
      <c r="C46" s="169" t="s">
        <v>516</v>
      </c>
      <c r="D46" s="170">
        <f>Calculator!EB49</f>
        <v>46195.541666666664</v>
      </c>
      <c r="E46" s="171"/>
      <c r="F46" s="171"/>
      <c r="G46" s="171"/>
      <c r="H46" s="172" t="str">
        <f>H22</f>
        <v>Argentina</v>
      </c>
      <c r="I46" s="172"/>
      <c r="J46" s="173"/>
      <c r="K46" s="173"/>
      <c r="L46" s="172"/>
      <c r="M46" s="174" t="str">
        <f>H23</f>
        <v>Austria</v>
      </c>
      <c r="N46" s="174"/>
      <c r="O46" s="174"/>
      <c r="P46" s="174"/>
      <c r="Q46" s="175" t="s">
        <v>529</v>
      </c>
      <c r="S46" s="131" t="str">
        <f>INDEX(Language!$A$1:$K$177,MATCH("Group H",Language!$B$1:$B$177,0),MATCH(Setup!$C$5,Language!$A$1:$J$1,0))</f>
        <v>Group H</v>
      </c>
      <c r="T46" s="114"/>
      <c r="U46" s="114"/>
      <c r="V46" s="113" t="s">
        <v>67</v>
      </c>
      <c r="W46" s="113" t="s">
        <v>68</v>
      </c>
      <c r="X46" s="113" t="s">
        <v>69</v>
      </c>
      <c r="Y46" s="113" t="s">
        <v>70</v>
      </c>
      <c r="Z46" s="113" t="s">
        <v>75</v>
      </c>
      <c r="AA46" s="113" t="s">
        <v>72</v>
      </c>
      <c r="AB46" s="132" t="s">
        <v>71</v>
      </c>
      <c r="AC46" s="64"/>
      <c r="AD46" s="64"/>
      <c r="AF46" s="98"/>
      <c r="AG46" s="98"/>
      <c r="AH46" s="98"/>
      <c r="AI46" s="98"/>
      <c r="AJ46" s="98"/>
      <c r="AK46" s="98"/>
      <c r="AL46" s="98"/>
      <c r="CT46" s="101"/>
      <c r="CU46" s="101"/>
      <c r="CV46" s="63"/>
      <c r="CW46" s="101"/>
    </row>
    <row r="47" spans="2:101" s="60" customFormat="1" ht="13.5" customHeight="1" x14ac:dyDescent="0.25">
      <c r="B47" s="166">
        <v>44</v>
      </c>
      <c r="C47" s="176" t="s">
        <v>516</v>
      </c>
      <c r="D47" s="177">
        <f>Calculator!EB50</f>
        <v>46195.958333333336</v>
      </c>
      <c r="E47" s="178"/>
      <c r="F47" s="178"/>
      <c r="G47" s="178"/>
      <c r="H47" s="179" t="str">
        <f>M23</f>
        <v>Jordan</v>
      </c>
      <c r="I47" s="179"/>
      <c r="J47" s="173"/>
      <c r="K47" s="173"/>
      <c r="L47" s="179"/>
      <c r="M47" s="180" t="str">
        <f>M22</f>
        <v>Algeria</v>
      </c>
      <c r="N47" s="180"/>
      <c r="O47" s="180"/>
      <c r="P47" s="180"/>
      <c r="Q47" s="181" t="s">
        <v>526</v>
      </c>
      <c r="S47" s="147">
        <v>1</v>
      </c>
      <c r="T47" s="91" t="str">
        <f>INDEX(Calculator!C$49:C$52,MATCH($S47,Calculator!$B$49:$B$52,0),0)</f>
        <v>Spain</v>
      </c>
      <c r="U47" s="91"/>
      <c r="V47" s="76">
        <f>SUM(W47:Y47)</f>
        <v>0</v>
      </c>
      <c r="W47" s="76">
        <f>INDEX(Calculator!D$49:D$52,MATCH($S47,Calculator!$B$49:$B$52,0),0)</f>
        <v>0</v>
      </c>
      <c r="X47" s="76">
        <f>INDEX(Calculator!E$49:E$52,MATCH($S47,Calculator!$B$49:$B$52,0),0)</f>
        <v>0</v>
      </c>
      <c r="Y47" s="76">
        <f>INDEX(Calculator!F$49:F$52,MATCH($S47,Calculator!$B$49:$B$52,0),0)</f>
        <v>0</v>
      </c>
      <c r="Z47" s="76">
        <f>INDEX(Calculator!G$49:G$52,MATCH($S47,Calculator!$B$49:$B$52,0),0)</f>
        <v>0</v>
      </c>
      <c r="AA47" s="76">
        <f>INDEX(Calculator!H$49:H$52,MATCH($S47,Calculator!$B$49:$B$52,0),0)</f>
        <v>0</v>
      </c>
      <c r="AB47" s="148">
        <f>INDEX(Calculator!J$49:J$52,MATCH($S47,Calculator!$B$49:$B$52,0),0)</f>
        <v>0</v>
      </c>
      <c r="AC47" s="64"/>
      <c r="AD47" s="64"/>
      <c r="AF47" s="98"/>
      <c r="AG47" s="98"/>
      <c r="AH47" s="98"/>
      <c r="AI47" s="98"/>
      <c r="AJ47" s="98"/>
      <c r="AK47" s="98"/>
      <c r="AL47" s="98"/>
      <c r="CT47" s="101"/>
      <c r="CU47" s="101"/>
      <c r="CV47" s="63"/>
      <c r="CW47" s="101"/>
    </row>
    <row r="48" spans="2:101" s="60" customFormat="1" ht="13.5" customHeight="1" x14ac:dyDescent="0.25">
      <c r="B48" s="166">
        <v>45</v>
      </c>
      <c r="C48" s="169" t="s">
        <v>70</v>
      </c>
      <c r="D48" s="170">
        <f>Calculator!EB51</f>
        <v>46196.666666666664</v>
      </c>
      <c r="E48" s="171"/>
      <c r="F48" s="171"/>
      <c r="G48" s="171"/>
      <c r="H48" s="172" t="str">
        <f>H25</f>
        <v>England</v>
      </c>
      <c r="I48" s="172"/>
      <c r="J48" s="173"/>
      <c r="K48" s="173"/>
      <c r="L48" s="172"/>
      <c r="M48" s="174" t="str">
        <f>H24</f>
        <v>Ghana</v>
      </c>
      <c r="N48" s="174"/>
      <c r="O48" s="174"/>
      <c r="P48" s="174"/>
      <c r="Q48" s="175" t="s">
        <v>523</v>
      </c>
      <c r="S48" s="147">
        <v>2</v>
      </c>
      <c r="T48" s="91" t="str">
        <f>INDEX(Calculator!C$49:C$52,MATCH($S48,Calculator!$B$49:$B$52,0),0)</f>
        <v>Uruguay</v>
      </c>
      <c r="U48" s="91"/>
      <c r="V48" s="76">
        <f t="shared" ref="V48:V50" si="7">SUM(W48:Y48)</f>
        <v>0</v>
      </c>
      <c r="W48" s="76">
        <f>INDEX(Calculator!D$49:D$52,MATCH($S48,Calculator!$B$49:$B$52,0),0)</f>
        <v>0</v>
      </c>
      <c r="X48" s="76">
        <f>INDEX(Calculator!E$49:E$52,MATCH($S48,Calculator!$B$49:$B$52,0),0)</f>
        <v>0</v>
      </c>
      <c r="Y48" s="76">
        <f>INDEX(Calculator!F$49:F$52,MATCH($S48,Calculator!$B$49:$B$52,0),0)</f>
        <v>0</v>
      </c>
      <c r="Z48" s="76">
        <f>INDEX(Calculator!G$49:G$52,MATCH($S48,Calculator!$B$49:$B$52,0),0)</f>
        <v>0</v>
      </c>
      <c r="AA48" s="76">
        <f>INDEX(Calculator!H$49:H$52,MATCH($S48,Calculator!$B$49:$B$52,0),0)</f>
        <v>0</v>
      </c>
      <c r="AB48" s="148">
        <f>INDEX(Calculator!J$49:J$52,MATCH($S48,Calculator!$B$49:$B$52,0),0)</f>
        <v>0</v>
      </c>
      <c r="AC48" s="64"/>
      <c r="AD48" s="64"/>
      <c r="AF48" s="98"/>
      <c r="AG48" s="98"/>
      <c r="AH48" s="98"/>
      <c r="AI48" s="98"/>
      <c r="AJ48" s="98"/>
      <c r="AK48" s="98"/>
      <c r="AL48" s="98"/>
      <c r="CT48" s="101"/>
      <c r="CU48" s="101"/>
      <c r="CV48" s="63"/>
      <c r="CW48" s="101"/>
    </row>
    <row r="49" spans="2:101" s="60" customFormat="1" ht="13.5" customHeight="1" x14ac:dyDescent="0.25">
      <c r="B49" s="166">
        <v>46</v>
      </c>
      <c r="C49" s="176" t="s">
        <v>70</v>
      </c>
      <c r="D49" s="177">
        <f>Calculator!EB52</f>
        <v>46196.791666666664</v>
      </c>
      <c r="E49" s="178"/>
      <c r="F49" s="178"/>
      <c r="G49" s="178"/>
      <c r="H49" s="179" t="str">
        <f>M24</f>
        <v>Panama</v>
      </c>
      <c r="I49" s="179"/>
      <c r="J49" s="173"/>
      <c r="K49" s="173"/>
      <c r="L49" s="179"/>
      <c r="M49" s="180" t="str">
        <f>M25</f>
        <v>Croatia</v>
      </c>
      <c r="N49" s="180"/>
      <c r="O49" s="180"/>
      <c r="P49" s="180"/>
      <c r="Q49" s="181" t="s">
        <v>521</v>
      </c>
      <c r="S49" s="121">
        <v>3</v>
      </c>
      <c r="T49" s="82" t="str">
        <f>INDEX(Calculator!C$49:C$52,MATCH($S49,Calculator!$B$49:$B$52,0),0)</f>
        <v>Saudi Arabia</v>
      </c>
      <c r="U49" s="82"/>
      <c r="V49" s="69">
        <f t="shared" si="7"/>
        <v>0</v>
      </c>
      <c r="W49" s="69">
        <f>INDEX(Calculator!D$49:D$52,MATCH($S49,Calculator!$B$49:$B$52,0),0)</f>
        <v>0</v>
      </c>
      <c r="X49" s="69">
        <f>INDEX(Calculator!E$49:E$52,MATCH($S49,Calculator!$B$49:$B$52,0),0)</f>
        <v>0</v>
      </c>
      <c r="Y49" s="69">
        <f>INDEX(Calculator!F$49:F$52,MATCH($S49,Calculator!$B$49:$B$52,0),0)</f>
        <v>0</v>
      </c>
      <c r="Z49" s="83">
        <f>INDEX(Calculator!G$49:G$52,MATCH($S49,Calculator!$B$49:$B$52,0),0)</f>
        <v>0</v>
      </c>
      <c r="AA49" s="83">
        <f>INDEX(Calculator!H$49:H$52,MATCH($S49,Calculator!$B$49:$B$52,0),0)</f>
        <v>0</v>
      </c>
      <c r="AB49" s="122">
        <f>INDEX(Calculator!J$49:J$52,MATCH($S49,Calculator!$B$49:$B$52,0),0)</f>
        <v>0</v>
      </c>
      <c r="AC49" s="64"/>
      <c r="AD49" s="64"/>
      <c r="AF49" s="98"/>
      <c r="AG49" s="98"/>
      <c r="AH49" s="98"/>
      <c r="AI49" s="98"/>
      <c r="AJ49" s="98"/>
      <c r="AK49" s="98"/>
      <c r="AL49" s="98"/>
      <c r="CT49" s="101"/>
      <c r="CU49" s="101"/>
      <c r="CV49" s="63"/>
      <c r="CW49" s="101"/>
    </row>
    <row r="50" spans="2:101" s="60" customFormat="1" ht="13.5" customHeight="1" x14ac:dyDescent="0.25">
      <c r="B50" s="166">
        <v>47</v>
      </c>
      <c r="C50" s="169" t="s">
        <v>517</v>
      </c>
      <c r="D50" s="170">
        <f>Calculator!EB53</f>
        <v>46196.541666666664</v>
      </c>
      <c r="E50" s="171"/>
      <c r="F50" s="171"/>
      <c r="G50" s="171"/>
      <c r="H50" s="172" t="str">
        <f>H26</f>
        <v>Portugal</v>
      </c>
      <c r="I50" s="172"/>
      <c r="J50" s="173"/>
      <c r="K50" s="173"/>
      <c r="L50" s="172"/>
      <c r="M50" s="174" t="str">
        <f>H27</f>
        <v>Uzbekistan</v>
      </c>
      <c r="N50" s="174"/>
      <c r="O50" s="174"/>
      <c r="P50" s="174"/>
      <c r="Q50" s="175" t="s">
        <v>528</v>
      </c>
      <c r="S50" s="121">
        <v>4</v>
      </c>
      <c r="T50" s="82" t="str">
        <f>INDEX(Calculator!C$49:C$52,MATCH($S50,Calculator!$B$49:$B$52,0),0)</f>
        <v>Cabo Verde</v>
      </c>
      <c r="U50" s="82"/>
      <c r="V50" s="69">
        <f t="shared" si="7"/>
        <v>0</v>
      </c>
      <c r="W50" s="69">
        <f>INDEX(Calculator!D$49:D$52,MATCH($S50,Calculator!$B$49:$B$52,0),0)</f>
        <v>0</v>
      </c>
      <c r="X50" s="69">
        <f>INDEX(Calculator!E$49:E$52,MATCH($S50,Calculator!$B$49:$B$52,0),0)</f>
        <v>0</v>
      </c>
      <c r="Y50" s="69">
        <f>INDEX(Calculator!F$49:F$52,MATCH($S50,Calculator!$B$49:$B$52,0),0)</f>
        <v>0</v>
      </c>
      <c r="Z50" s="83">
        <f>INDEX(Calculator!G$49:G$52,MATCH($S50,Calculator!$B$49:$B$52,0),0)</f>
        <v>0</v>
      </c>
      <c r="AA50" s="83">
        <f>INDEX(Calculator!H$49:H$52,MATCH($S50,Calculator!$B$49:$B$52,0),0)</f>
        <v>0</v>
      </c>
      <c r="AB50" s="122">
        <f>INDEX(Calculator!J$49:J$52,MATCH($S50,Calculator!$B$49:$B$52,0),0)</f>
        <v>0</v>
      </c>
      <c r="AC50" s="64"/>
      <c r="AD50" s="64"/>
      <c r="AF50" s="98"/>
      <c r="AG50" s="98"/>
      <c r="AH50" s="98"/>
      <c r="AI50" s="98"/>
      <c r="AJ50" s="98"/>
      <c r="AK50" s="98"/>
      <c r="AL50" s="98"/>
      <c r="CT50" s="101"/>
      <c r="CU50" s="101"/>
      <c r="CV50" s="63"/>
      <c r="CW50" s="101"/>
    </row>
    <row r="51" spans="2:101" s="60" customFormat="1" ht="13.5" customHeight="1" x14ac:dyDescent="0.25">
      <c r="B51" s="166">
        <v>48</v>
      </c>
      <c r="C51" s="176" t="s">
        <v>517</v>
      </c>
      <c r="D51" s="177">
        <f>Calculator!EB54</f>
        <v>46196.916666666664</v>
      </c>
      <c r="E51" s="178"/>
      <c r="F51" s="178"/>
      <c r="G51" s="178"/>
      <c r="H51" s="179" t="str">
        <f>M27</f>
        <v>Colombia</v>
      </c>
      <c r="I51" s="179"/>
      <c r="J51" s="173"/>
      <c r="K51" s="173"/>
      <c r="L51" s="179"/>
      <c r="M51" s="180" t="str">
        <f>M26</f>
        <v>DR Congo</v>
      </c>
      <c r="N51" s="180"/>
      <c r="O51" s="180"/>
      <c r="P51" s="180"/>
      <c r="Q51" s="181" t="s">
        <v>520</v>
      </c>
      <c r="R51" s="111"/>
      <c r="S51" s="149"/>
      <c r="T51" s="6"/>
      <c r="U51" s="6"/>
      <c r="V51" s="6"/>
      <c r="W51" s="6"/>
      <c r="X51" s="1"/>
      <c r="Y51" s="1"/>
      <c r="Z51" s="1"/>
      <c r="AA51" s="1"/>
      <c r="AB51" s="150"/>
      <c r="AC51" s="64"/>
      <c r="AD51" s="64"/>
      <c r="AF51" s="98"/>
      <c r="AG51" s="98"/>
      <c r="AH51" s="98"/>
      <c r="AI51" s="98"/>
      <c r="AJ51" s="98"/>
      <c r="AK51" s="98"/>
      <c r="AL51" s="98"/>
      <c r="CT51" s="101"/>
      <c r="CU51" s="101"/>
      <c r="CV51" s="63"/>
      <c r="CW51" s="101"/>
    </row>
    <row r="52" spans="2:101" s="60" customFormat="1" ht="13.5" customHeight="1" x14ac:dyDescent="0.25">
      <c r="B52" s="166">
        <v>49</v>
      </c>
      <c r="C52" s="169" t="s">
        <v>74</v>
      </c>
      <c r="D52" s="170">
        <f>Calculator!EB55</f>
        <v>46197.75</v>
      </c>
      <c r="E52" s="171"/>
      <c r="F52" s="171"/>
      <c r="G52" s="171"/>
      <c r="H52" s="172" t="str">
        <f>M8</f>
        <v>Scotland</v>
      </c>
      <c r="I52" s="172"/>
      <c r="J52" s="173"/>
      <c r="K52" s="173"/>
      <c r="L52" s="172"/>
      <c r="M52" s="174" t="str">
        <f>H10</f>
        <v>Brazil</v>
      </c>
      <c r="N52" s="174"/>
      <c r="O52" s="174"/>
      <c r="P52" s="174"/>
      <c r="Q52" s="175" t="s">
        <v>531</v>
      </c>
      <c r="R52" s="111"/>
      <c r="S52" s="131" t="str">
        <f>INDEX(Language!$A$1:$K$177,MATCH("Group I",Language!$B$1:$B$177,0),MATCH(Setup!$C$5,Language!$A$1:$J$1,0))</f>
        <v>Group I</v>
      </c>
      <c r="T52" s="114"/>
      <c r="U52" s="114"/>
      <c r="V52" s="113" t="s">
        <v>67</v>
      </c>
      <c r="W52" s="113" t="s">
        <v>68</v>
      </c>
      <c r="X52" s="113" t="s">
        <v>69</v>
      </c>
      <c r="Y52" s="113" t="s">
        <v>70</v>
      </c>
      <c r="Z52" s="113" t="s">
        <v>75</v>
      </c>
      <c r="AA52" s="113" t="s">
        <v>72</v>
      </c>
      <c r="AB52" s="132" t="s">
        <v>71</v>
      </c>
      <c r="AC52" s="64"/>
      <c r="AD52" s="64"/>
      <c r="AF52" s="98"/>
      <c r="AG52" s="98"/>
      <c r="AH52" s="98"/>
      <c r="AI52" s="98"/>
      <c r="AJ52" s="98"/>
      <c r="AK52" s="98"/>
      <c r="AL52" s="98"/>
      <c r="CT52" s="101"/>
      <c r="CU52" s="101"/>
      <c r="CV52" s="63"/>
      <c r="CW52" s="101"/>
    </row>
    <row r="53" spans="2:101" s="60" customFormat="1" ht="13.5" customHeight="1" x14ac:dyDescent="0.25">
      <c r="B53" s="166">
        <v>50</v>
      </c>
      <c r="C53" s="176" t="s">
        <v>74</v>
      </c>
      <c r="D53" s="177">
        <f>Calculator!EB56</f>
        <v>46197.75</v>
      </c>
      <c r="E53" s="178"/>
      <c r="F53" s="178"/>
      <c r="G53" s="178"/>
      <c r="H53" s="179" t="str">
        <f>M10</f>
        <v>Morocco</v>
      </c>
      <c r="I53" s="179"/>
      <c r="J53" s="173"/>
      <c r="K53" s="173"/>
      <c r="L53" s="179"/>
      <c r="M53" s="180" t="str">
        <f>H8</f>
        <v>Haiti</v>
      </c>
      <c r="N53" s="180"/>
      <c r="O53" s="180"/>
      <c r="P53" s="180"/>
      <c r="Q53" s="181" t="s">
        <v>532</v>
      </c>
      <c r="R53" s="111"/>
      <c r="S53" s="151">
        <v>1</v>
      </c>
      <c r="T53" s="92" t="str">
        <f>INDEX(Calculator!C$55:C$58,MATCH($S53,Calculator!$B$55:$B$58,0),0)</f>
        <v>France</v>
      </c>
      <c r="U53" s="92"/>
      <c r="V53" s="77">
        <f>SUM(W53:Y53)</f>
        <v>0</v>
      </c>
      <c r="W53" s="77">
        <f>INDEX(Calculator!D$55:D$58,MATCH($S53,Calculator!$B$55:$B$58,0),0)</f>
        <v>0</v>
      </c>
      <c r="X53" s="77">
        <f>INDEX(Calculator!E$55:E$58,MATCH($S53,Calculator!$B$55:$B$58,0),0)</f>
        <v>0</v>
      </c>
      <c r="Y53" s="77">
        <f>INDEX(Calculator!F$55:F$58,MATCH($S53,Calculator!$B$55:$B$58,0),0)</f>
        <v>0</v>
      </c>
      <c r="Z53" s="77">
        <f>INDEX(Calculator!G$55:G$58,MATCH($S53,Calculator!$B$55:$B$58,0),0)</f>
        <v>0</v>
      </c>
      <c r="AA53" s="77">
        <f>INDEX(Calculator!H$55:H$58,MATCH($S53,Calculator!$B$55:$B$58,0),0)</f>
        <v>0</v>
      </c>
      <c r="AB53" s="152">
        <f>INDEX(Calculator!J$55:J$58,MATCH($S53,Calculator!$B$55:$B$58,0),0)</f>
        <v>0</v>
      </c>
      <c r="AC53" s="64"/>
      <c r="AD53" s="64"/>
      <c r="AF53" s="98"/>
      <c r="AG53" s="98"/>
      <c r="AH53" s="98"/>
      <c r="AI53" s="98"/>
      <c r="AJ53" s="98"/>
      <c r="AK53" s="98"/>
      <c r="AL53" s="98"/>
      <c r="CT53" s="101"/>
      <c r="CU53" s="101"/>
      <c r="CV53" s="63"/>
      <c r="CW53" s="101"/>
    </row>
    <row r="54" spans="2:101" s="60" customFormat="1" ht="13.5" customHeight="1" x14ac:dyDescent="0.25">
      <c r="B54" s="166">
        <v>51</v>
      </c>
      <c r="C54" s="169" t="s">
        <v>73</v>
      </c>
      <c r="D54" s="170">
        <f>Calculator!EB57</f>
        <v>46197.625</v>
      </c>
      <c r="E54" s="171"/>
      <c r="F54" s="171"/>
      <c r="G54" s="171"/>
      <c r="H54" s="172" t="str">
        <f>M11</f>
        <v>Switzerland</v>
      </c>
      <c r="I54" s="172"/>
      <c r="J54" s="173"/>
      <c r="K54" s="173"/>
      <c r="L54" s="172"/>
      <c r="M54" s="174" t="str">
        <f>H6</f>
        <v>Canada</v>
      </c>
      <c r="N54" s="174"/>
      <c r="O54" s="174"/>
      <c r="P54" s="174"/>
      <c r="Q54" s="175" t="s">
        <v>524</v>
      </c>
      <c r="R54" s="111"/>
      <c r="S54" s="151">
        <v>2</v>
      </c>
      <c r="T54" s="92" t="str">
        <f>INDEX(Calculator!C$55:C$58,MATCH($S54,Calculator!$B$55:$B$58,0),0)</f>
        <v>Senegal</v>
      </c>
      <c r="U54" s="92"/>
      <c r="V54" s="77">
        <f t="shared" ref="V54:V56" si="8">SUM(W54:Y54)</f>
        <v>0</v>
      </c>
      <c r="W54" s="77">
        <f>INDEX(Calculator!D$55:D$58,MATCH($S54,Calculator!$B$55:$B$58,0),0)</f>
        <v>0</v>
      </c>
      <c r="X54" s="77">
        <f>INDEX(Calculator!E$55:E$58,MATCH($S54,Calculator!$B$55:$B$58,0),0)</f>
        <v>0</v>
      </c>
      <c r="Y54" s="77">
        <f>INDEX(Calculator!F$55:F$58,MATCH($S54,Calculator!$B$55:$B$58,0),0)</f>
        <v>0</v>
      </c>
      <c r="Z54" s="77">
        <f>INDEX(Calculator!G$55:G$58,MATCH($S54,Calculator!$B$55:$B$58,0),0)</f>
        <v>0</v>
      </c>
      <c r="AA54" s="77">
        <f>INDEX(Calculator!H$55:H$58,MATCH($S54,Calculator!$B$55:$B$58,0),0)</f>
        <v>0</v>
      </c>
      <c r="AB54" s="152">
        <f>INDEX(Calculator!J$55:J$58,MATCH($S54,Calculator!$B$55:$B$58,0),0)</f>
        <v>0</v>
      </c>
      <c r="AC54" s="64"/>
      <c r="AD54" s="64"/>
      <c r="AF54" s="98"/>
      <c r="AG54" s="98"/>
      <c r="AH54" s="98"/>
      <c r="AI54" s="98"/>
      <c r="AJ54" s="98"/>
      <c r="AK54" s="98"/>
      <c r="AL54" s="98"/>
      <c r="CT54" s="101"/>
      <c r="CU54" s="101"/>
      <c r="CV54" s="63"/>
      <c r="CW54" s="101"/>
    </row>
    <row r="55" spans="2:101" s="60" customFormat="1" ht="13.5" customHeight="1" x14ac:dyDescent="0.25">
      <c r="B55" s="166">
        <v>52</v>
      </c>
      <c r="C55" s="176" t="s">
        <v>73</v>
      </c>
      <c r="D55" s="177">
        <f>Calculator!EB58</f>
        <v>46197.625</v>
      </c>
      <c r="E55" s="178"/>
      <c r="F55" s="178"/>
      <c r="G55" s="178"/>
      <c r="H55" s="179" t="str">
        <f>M6</f>
        <v>Bosnia and Herzegovina</v>
      </c>
      <c r="I55" s="179"/>
      <c r="J55" s="173"/>
      <c r="K55" s="173"/>
      <c r="L55" s="179"/>
      <c r="M55" s="180" t="str">
        <f>H11</f>
        <v>Qatar</v>
      </c>
      <c r="N55" s="180"/>
      <c r="O55" s="180"/>
      <c r="P55" s="180"/>
      <c r="Q55" s="181" t="s">
        <v>533</v>
      </c>
      <c r="R55" s="111"/>
      <c r="S55" s="121">
        <v>3</v>
      </c>
      <c r="T55" s="82" t="str">
        <f>INDEX(Calculator!C$55:C$58,MATCH($S55,Calculator!$B$55:$B$58,0),0)</f>
        <v>Norway</v>
      </c>
      <c r="U55" s="82"/>
      <c r="V55" s="69">
        <f t="shared" si="8"/>
        <v>0</v>
      </c>
      <c r="W55" s="69">
        <f>INDEX(Calculator!D$55:D$58,MATCH($S55,Calculator!$B$55:$B$58,0),0)</f>
        <v>0</v>
      </c>
      <c r="X55" s="69">
        <f>INDEX(Calculator!E$55:E$58,MATCH($S55,Calculator!$B$55:$B$58,0),0)</f>
        <v>0</v>
      </c>
      <c r="Y55" s="69">
        <f>INDEX(Calculator!F$55:F$58,MATCH($S55,Calculator!$B$55:$B$58,0),0)</f>
        <v>0</v>
      </c>
      <c r="Z55" s="83">
        <f>INDEX(Calculator!G$55:G$58,MATCH($S55,Calculator!$B$55:$B$58,0),0)</f>
        <v>0</v>
      </c>
      <c r="AA55" s="83">
        <f>INDEX(Calculator!H$55:H$58,MATCH($S55,Calculator!$B$55:$B$58,0),0)</f>
        <v>0</v>
      </c>
      <c r="AB55" s="122">
        <f>INDEX(Calculator!J$55:J$58,MATCH($S55,Calculator!$B$55:$B$58,0),0)</f>
        <v>0</v>
      </c>
      <c r="AC55" s="64"/>
      <c r="AD55" s="64"/>
      <c r="AF55" s="98"/>
      <c r="AG55" s="98"/>
      <c r="AH55" s="98"/>
      <c r="AI55" s="98"/>
      <c r="AJ55" s="98"/>
      <c r="AK55" s="98"/>
      <c r="AL55" s="98"/>
      <c r="CT55" s="101"/>
      <c r="CU55" s="101"/>
      <c r="CV55" s="63"/>
      <c r="CW55" s="101"/>
    </row>
    <row r="56" spans="2:101" s="60" customFormat="1" ht="13.5" customHeight="1" x14ac:dyDescent="0.25">
      <c r="B56" s="166">
        <v>53</v>
      </c>
      <c r="C56" s="169" t="s">
        <v>72</v>
      </c>
      <c r="D56" s="170">
        <f>Calculator!EB59</f>
        <v>46197.875</v>
      </c>
      <c r="E56" s="171"/>
      <c r="F56" s="171"/>
      <c r="G56" s="171"/>
      <c r="H56" s="172" t="str">
        <f>M5</f>
        <v>Czechia</v>
      </c>
      <c r="I56" s="172"/>
      <c r="J56" s="173"/>
      <c r="K56" s="173"/>
      <c r="L56" s="172"/>
      <c r="M56" s="174" t="str">
        <f>H4</f>
        <v>Mexico</v>
      </c>
      <c r="N56" s="174"/>
      <c r="O56" s="174"/>
      <c r="P56" s="174"/>
      <c r="Q56" s="175" t="s">
        <v>519</v>
      </c>
      <c r="R56" s="111"/>
      <c r="S56" s="121">
        <v>4</v>
      </c>
      <c r="T56" s="82" t="str">
        <f>INDEX(Calculator!C$55:C$58,MATCH($S56,Calculator!$B$55:$B$58,0),0)</f>
        <v>Iraq</v>
      </c>
      <c r="U56" s="82"/>
      <c r="V56" s="69">
        <f t="shared" si="8"/>
        <v>0</v>
      </c>
      <c r="W56" s="69">
        <f>INDEX(Calculator!D$55:D$58,MATCH($S56,Calculator!$B$55:$B$58,0),0)</f>
        <v>0</v>
      </c>
      <c r="X56" s="69">
        <f>INDEX(Calculator!E$55:E$58,MATCH($S56,Calculator!$B$55:$B$58,0),0)</f>
        <v>0</v>
      </c>
      <c r="Y56" s="69">
        <f>INDEX(Calculator!F$55:F$58,MATCH($S56,Calculator!$B$55:$B$58,0),0)</f>
        <v>0</v>
      </c>
      <c r="Z56" s="83">
        <f>INDEX(Calculator!G$55:G$58,MATCH($S56,Calculator!$B$55:$B$58,0),0)</f>
        <v>0</v>
      </c>
      <c r="AA56" s="83">
        <f>INDEX(Calculator!H$55:H$58,MATCH($S56,Calculator!$B$55:$B$58,0),0)</f>
        <v>0</v>
      </c>
      <c r="AB56" s="122">
        <f>INDEX(Calculator!J$55:J$58,MATCH($S56,Calculator!$B$55:$B$58,0),0)</f>
        <v>0</v>
      </c>
      <c r="AC56" s="64"/>
      <c r="AD56" s="64"/>
      <c r="AF56" s="98"/>
      <c r="AG56" s="98"/>
      <c r="AH56" s="98"/>
      <c r="AI56" s="98"/>
      <c r="AJ56" s="98"/>
      <c r="AK56" s="98"/>
      <c r="AL56" s="98"/>
      <c r="CT56" s="101"/>
      <c r="CU56" s="101"/>
      <c r="CV56" s="63"/>
      <c r="CW56" s="101"/>
    </row>
    <row r="57" spans="2:101" s="60" customFormat="1" ht="13.5" customHeight="1" x14ac:dyDescent="0.25">
      <c r="B57" s="166">
        <v>54</v>
      </c>
      <c r="C57" s="176" t="s">
        <v>72</v>
      </c>
      <c r="D57" s="177">
        <f>Calculator!EB60</f>
        <v>46197.875</v>
      </c>
      <c r="E57" s="178"/>
      <c r="F57" s="178"/>
      <c r="G57" s="178"/>
      <c r="H57" s="179" t="str">
        <f>M4</f>
        <v>South Africa</v>
      </c>
      <c r="I57" s="179"/>
      <c r="J57" s="173"/>
      <c r="K57" s="173"/>
      <c r="L57" s="179"/>
      <c r="M57" s="180" t="str">
        <f>H5</f>
        <v>Korea Republic</v>
      </c>
      <c r="N57" s="180"/>
      <c r="O57" s="180"/>
      <c r="P57" s="180"/>
      <c r="Q57" s="181" t="s">
        <v>530</v>
      </c>
      <c r="R57" s="111"/>
      <c r="S57" s="149"/>
      <c r="T57" s="6"/>
      <c r="U57" s="6"/>
      <c r="V57" s="6"/>
      <c r="W57" s="6"/>
      <c r="X57" s="1"/>
      <c r="Y57" s="1"/>
      <c r="Z57" s="1"/>
      <c r="AA57" s="1"/>
      <c r="AB57" s="150"/>
      <c r="AC57" s="64"/>
      <c r="AD57" s="64"/>
      <c r="AF57" s="98"/>
      <c r="AG57" s="98"/>
      <c r="AH57" s="98"/>
      <c r="AI57" s="98"/>
      <c r="AJ57" s="98"/>
      <c r="AK57" s="98"/>
      <c r="AL57" s="98"/>
      <c r="CT57" s="101"/>
      <c r="CU57" s="101"/>
      <c r="CV57" s="63"/>
      <c r="CW57" s="101"/>
    </row>
    <row r="58" spans="2:101" s="60" customFormat="1" ht="13.5" customHeight="1" x14ac:dyDescent="0.25">
      <c r="B58" s="166">
        <v>55</v>
      </c>
      <c r="C58" s="169" t="s">
        <v>76</v>
      </c>
      <c r="D58" s="170">
        <f>Calculator!EB61</f>
        <v>46198.666666666664</v>
      </c>
      <c r="E58" s="171"/>
      <c r="F58" s="171"/>
      <c r="G58" s="171"/>
      <c r="H58" s="172" t="str">
        <f>M13</f>
        <v>Curacao</v>
      </c>
      <c r="I58" s="172"/>
      <c r="J58" s="173"/>
      <c r="K58" s="173"/>
      <c r="L58" s="172"/>
      <c r="M58" s="174" t="str">
        <f>H12</f>
        <v>Cote D'Voire</v>
      </c>
      <c r="N58" s="174"/>
      <c r="O58" s="174"/>
      <c r="P58" s="174"/>
      <c r="Q58" s="175" t="s">
        <v>527</v>
      </c>
      <c r="R58" s="111"/>
      <c r="S58" s="131" t="str">
        <f>INDEX(Language!$A$1:$K$177,MATCH("Group J",Language!$B$1:$B$177,0),MATCH(Setup!$C$5,Language!$A$1:$J$1,0))</f>
        <v>Group J</v>
      </c>
      <c r="T58" s="114"/>
      <c r="U58" s="114"/>
      <c r="V58" s="113" t="s">
        <v>67</v>
      </c>
      <c r="W58" s="113" t="s">
        <v>68</v>
      </c>
      <c r="X58" s="113" t="s">
        <v>69</v>
      </c>
      <c r="Y58" s="113" t="s">
        <v>70</v>
      </c>
      <c r="Z58" s="113" t="s">
        <v>75</v>
      </c>
      <c r="AA58" s="113" t="s">
        <v>72</v>
      </c>
      <c r="AB58" s="132" t="s">
        <v>71</v>
      </c>
      <c r="AC58" s="64"/>
      <c r="AD58" s="64"/>
      <c r="AF58" s="98"/>
      <c r="AG58" s="98"/>
      <c r="AH58" s="98"/>
      <c r="AI58" s="98"/>
      <c r="AJ58" s="98"/>
      <c r="AK58" s="98"/>
      <c r="AL58" s="98"/>
      <c r="CT58" s="101"/>
      <c r="CU58" s="101"/>
      <c r="CV58" s="63"/>
      <c r="CW58" s="101"/>
    </row>
    <row r="59" spans="2:101" s="60" customFormat="1" ht="13.5" customHeight="1" x14ac:dyDescent="0.25">
      <c r="B59" s="166">
        <v>56</v>
      </c>
      <c r="C59" s="176" t="s">
        <v>76</v>
      </c>
      <c r="D59" s="177">
        <f>Calculator!EB62</f>
        <v>46198.666666666664</v>
      </c>
      <c r="E59" s="178"/>
      <c r="F59" s="178"/>
      <c r="G59" s="178"/>
      <c r="H59" s="179" t="str">
        <f>M12</f>
        <v>Ecuador</v>
      </c>
      <c r="I59" s="179"/>
      <c r="J59" s="173"/>
      <c r="K59" s="173"/>
      <c r="L59" s="179"/>
      <c r="M59" s="180" t="str">
        <f>H13</f>
        <v>Germany</v>
      </c>
      <c r="N59" s="180"/>
      <c r="O59" s="180"/>
      <c r="P59" s="180"/>
      <c r="Q59" s="181" t="s">
        <v>525</v>
      </c>
      <c r="R59" s="111"/>
      <c r="S59" s="153">
        <v>1</v>
      </c>
      <c r="T59" s="93" t="str">
        <f>INDEX(Calculator!C$61:C$64,MATCH($S59,Calculator!$B$61:$B$64,0),0)</f>
        <v>Argentina</v>
      </c>
      <c r="U59" s="93"/>
      <c r="V59" s="78">
        <f>SUM(W59:Y59)</f>
        <v>0</v>
      </c>
      <c r="W59" s="78">
        <f>INDEX(Calculator!D$61:D$64,MATCH($S59,Calculator!$B$61:$B$64,0),0)</f>
        <v>0</v>
      </c>
      <c r="X59" s="78">
        <f>INDEX(Calculator!E$61:E$64,MATCH($S59,Calculator!$B$61:$B$64,0),0)</f>
        <v>0</v>
      </c>
      <c r="Y59" s="78">
        <f>INDEX(Calculator!F$61:F$64,MATCH($S59,Calculator!$B$61:$B$64,0),0)</f>
        <v>0</v>
      </c>
      <c r="Z59" s="78">
        <f>INDEX(Calculator!G$61:G$64,MATCH($S59,Calculator!$B$61:$B$64,0),0)</f>
        <v>0</v>
      </c>
      <c r="AA59" s="78">
        <f>INDEX(Calculator!H$61:H$64,MATCH($S59,Calculator!$B$61:$B$64,0),0)</f>
        <v>0</v>
      </c>
      <c r="AB59" s="154">
        <f>INDEX(Calculator!J$61:J$64,MATCH($S59,Calculator!$B$61:$B$64,0),0)</f>
        <v>0</v>
      </c>
      <c r="AC59" s="64"/>
      <c r="AD59" s="64"/>
      <c r="AF59" s="98"/>
      <c r="AG59" s="98"/>
      <c r="AH59" s="98"/>
      <c r="AI59" s="98"/>
      <c r="AJ59" s="98"/>
      <c r="AK59" s="98"/>
      <c r="AL59" s="98"/>
      <c r="CT59" s="101"/>
      <c r="CU59" s="101"/>
      <c r="CV59" s="63"/>
      <c r="CW59" s="101"/>
    </row>
    <row r="60" spans="2:101" s="60" customFormat="1" ht="13.5" customHeight="1" x14ac:dyDescent="0.25">
      <c r="B60" s="166">
        <v>57</v>
      </c>
      <c r="C60" s="169" t="s">
        <v>75</v>
      </c>
      <c r="D60" s="170">
        <f>Calculator!EB63</f>
        <v>46198.791666666664</v>
      </c>
      <c r="E60" s="171"/>
      <c r="F60" s="171"/>
      <c r="G60" s="171"/>
      <c r="H60" s="172" t="str">
        <f>M14</f>
        <v>Japan</v>
      </c>
      <c r="I60" s="172"/>
      <c r="J60" s="173"/>
      <c r="K60" s="173"/>
      <c r="L60" s="172"/>
      <c r="M60" s="174" t="str">
        <f>H15</f>
        <v>Sweden</v>
      </c>
      <c r="N60" s="174"/>
      <c r="O60" s="174"/>
      <c r="P60" s="174"/>
      <c r="Q60" s="175" t="s">
        <v>529</v>
      </c>
      <c r="R60" s="111"/>
      <c r="S60" s="153">
        <v>2</v>
      </c>
      <c r="T60" s="93" t="str">
        <f>INDEX(Calculator!C$61:C$64,MATCH($S60,Calculator!$B$61:$B$64,0),0)</f>
        <v>Austria</v>
      </c>
      <c r="U60" s="93"/>
      <c r="V60" s="78">
        <f t="shared" ref="V60:V62" si="9">SUM(W60:Y60)</f>
        <v>0</v>
      </c>
      <c r="W60" s="78">
        <f>INDEX(Calculator!D$61:D$64,MATCH($S60,Calculator!$B$61:$B$64,0),0)</f>
        <v>0</v>
      </c>
      <c r="X60" s="78">
        <f>INDEX(Calculator!E$61:E$64,MATCH($S60,Calculator!$B$61:$B$64,0),0)</f>
        <v>0</v>
      </c>
      <c r="Y60" s="78">
        <f>INDEX(Calculator!F$61:F$64,MATCH($S60,Calculator!$B$61:$B$64,0),0)</f>
        <v>0</v>
      </c>
      <c r="Z60" s="78">
        <f>INDEX(Calculator!G$61:G$64,MATCH($S60,Calculator!$B$61:$B$64,0),0)</f>
        <v>0</v>
      </c>
      <c r="AA60" s="78">
        <f>INDEX(Calculator!H$61:H$64,MATCH($S60,Calculator!$B$61:$B$64,0),0)</f>
        <v>0</v>
      </c>
      <c r="AB60" s="154">
        <f>INDEX(Calculator!J$61:J$64,MATCH($S60,Calculator!$B$61:$B$64,0),0)</f>
        <v>0</v>
      </c>
      <c r="AC60" s="64"/>
      <c r="AD60" s="64"/>
      <c r="AF60" s="98"/>
      <c r="AG60" s="98"/>
      <c r="AH60" s="98"/>
      <c r="AI60" s="98"/>
      <c r="AJ60" s="98"/>
      <c r="AK60" s="98"/>
      <c r="AL60" s="98"/>
      <c r="CT60" s="101"/>
      <c r="CU60" s="101"/>
      <c r="CV60" s="63"/>
      <c r="CW60" s="101"/>
    </row>
    <row r="61" spans="2:101" s="60" customFormat="1" ht="13.5" customHeight="1" x14ac:dyDescent="0.25">
      <c r="B61" s="166">
        <v>58</v>
      </c>
      <c r="C61" s="176" t="s">
        <v>75</v>
      </c>
      <c r="D61" s="177">
        <f>Calculator!EB64</f>
        <v>46198.791666666664</v>
      </c>
      <c r="E61" s="178"/>
      <c r="F61" s="178"/>
      <c r="G61" s="178"/>
      <c r="H61" s="179" t="str">
        <f>M15</f>
        <v>Tunisia</v>
      </c>
      <c r="I61" s="179"/>
      <c r="J61" s="173"/>
      <c r="K61" s="173"/>
      <c r="L61" s="179"/>
      <c r="M61" s="180" t="str">
        <f>H14</f>
        <v>Netherlands</v>
      </c>
      <c r="N61" s="180"/>
      <c r="O61" s="180"/>
      <c r="P61" s="180"/>
      <c r="Q61" s="181" t="s">
        <v>534</v>
      </c>
      <c r="R61" s="111"/>
      <c r="S61" s="121">
        <v>3</v>
      </c>
      <c r="T61" s="82" t="str">
        <f>INDEX(Calculator!C$61:C$64,MATCH($S61,Calculator!$B$61:$B$64,0),0)</f>
        <v>Algeria</v>
      </c>
      <c r="U61" s="82"/>
      <c r="V61" s="69">
        <f t="shared" si="9"/>
        <v>0</v>
      </c>
      <c r="W61" s="69">
        <f>INDEX(Calculator!D$61:D$64,MATCH($S61,Calculator!$B$61:$B$64,0),0)</f>
        <v>0</v>
      </c>
      <c r="X61" s="69">
        <f>INDEX(Calculator!E$61:E$64,MATCH($S61,Calculator!$B$61:$B$64,0),0)</f>
        <v>0</v>
      </c>
      <c r="Y61" s="69">
        <f>INDEX(Calculator!F$61:F$64,MATCH($S61,Calculator!$B$61:$B$64,0),0)</f>
        <v>0</v>
      </c>
      <c r="Z61" s="83">
        <f>INDEX(Calculator!G$61:G$64,MATCH($S61,Calculator!$B$61:$B$64,0),0)</f>
        <v>0</v>
      </c>
      <c r="AA61" s="83">
        <f>INDEX(Calculator!H$61:H$64,MATCH($S61,Calculator!$B$61:$B$64,0),0)</f>
        <v>0</v>
      </c>
      <c r="AB61" s="122">
        <f>INDEX(Calculator!J$61:J$64,MATCH($S61,Calculator!$B$61:$B$64,0),0)</f>
        <v>0</v>
      </c>
      <c r="AC61" s="64"/>
      <c r="AD61" s="64"/>
      <c r="AF61" s="98"/>
      <c r="AG61" s="98"/>
      <c r="AH61" s="98"/>
      <c r="AI61" s="98"/>
      <c r="AJ61" s="98"/>
      <c r="AK61" s="98"/>
      <c r="AL61" s="98"/>
      <c r="CT61" s="101"/>
      <c r="CU61" s="101"/>
      <c r="CV61" s="63"/>
      <c r="CW61" s="101"/>
    </row>
    <row r="62" spans="2:101" s="60" customFormat="1" ht="13.5" customHeight="1" x14ac:dyDescent="0.25">
      <c r="B62" s="166">
        <v>59</v>
      </c>
      <c r="C62" s="169" t="s">
        <v>69</v>
      </c>
      <c r="D62" s="170">
        <f>Calculator!EB65</f>
        <v>46198.916666666664</v>
      </c>
      <c r="E62" s="171"/>
      <c r="F62" s="171"/>
      <c r="G62" s="171"/>
      <c r="H62" s="172" t="str">
        <f>M9</f>
        <v>Türkiye</v>
      </c>
      <c r="I62" s="172"/>
      <c r="J62" s="173"/>
      <c r="K62" s="173"/>
      <c r="L62" s="172"/>
      <c r="M62" s="174" t="str">
        <f>H7</f>
        <v>USA</v>
      </c>
      <c r="N62" s="174"/>
      <c r="O62" s="174"/>
      <c r="P62" s="174"/>
      <c r="Q62" s="175" t="s">
        <v>522</v>
      </c>
      <c r="R62" s="111"/>
      <c r="S62" s="121">
        <v>4</v>
      </c>
      <c r="T62" s="82" t="str">
        <f>INDEX(Calculator!C$61:C$64,MATCH($S62,Calculator!$B$61:$B$64,0),0)</f>
        <v>Jordan</v>
      </c>
      <c r="U62" s="82"/>
      <c r="V62" s="69">
        <f t="shared" si="9"/>
        <v>0</v>
      </c>
      <c r="W62" s="69">
        <f>INDEX(Calculator!D$61:D$64,MATCH($S62,Calculator!$B$61:$B$64,0),0)</f>
        <v>0</v>
      </c>
      <c r="X62" s="69">
        <f>INDEX(Calculator!E$61:E$64,MATCH($S62,Calculator!$B$61:$B$64,0),0)</f>
        <v>0</v>
      </c>
      <c r="Y62" s="69">
        <f>INDEX(Calculator!F$61:F$64,MATCH($S62,Calculator!$B$61:$B$64,0),0)</f>
        <v>0</v>
      </c>
      <c r="Z62" s="83">
        <f>INDEX(Calculator!G$61:G$64,MATCH($S62,Calculator!$B$61:$B$64,0),0)</f>
        <v>0</v>
      </c>
      <c r="AA62" s="83">
        <f>INDEX(Calculator!H$61:H$64,MATCH($S62,Calculator!$B$61:$B$64,0),0)</f>
        <v>0</v>
      </c>
      <c r="AB62" s="122">
        <f>INDEX(Calculator!J$61:J$64,MATCH($S62,Calculator!$B$61:$B$64,0),0)</f>
        <v>0</v>
      </c>
      <c r="AC62" s="64"/>
      <c r="AD62" s="64"/>
      <c r="AF62" s="98"/>
      <c r="AG62" s="98"/>
      <c r="AH62" s="98"/>
      <c r="AI62" s="98"/>
      <c r="AJ62" s="98"/>
      <c r="AK62" s="98"/>
      <c r="AL62" s="98"/>
      <c r="CT62" s="101"/>
      <c r="CU62" s="101"/>
      <c r="CV62" s="63"/>
      <c r="CW62" s="101"/>
    </row>
    <row r="63" spans="2:101" s="60" customFormat="1" ht="13.5" customHeight="1" x14ac:dyDescent="0.25">
      <c r="B63" s="166">
        <v>60</v>
      </c>
      <c r="C63" s="176" t="s">
        <v>69</v>
      </c>
      <c r="D63" s="177">
        <f>Calculator!EB66</f>
        <v>46198.916666666664</v>
      </c>
      <c r="E63" s="178"/>
      <c r="F63" s="178"/>
      <c r="G63" s="178"/>
      <c r="H63" s="179" t="str">
        <f>M7</f>
        <v>Paraguay</v>
      </c>
      <c r="I63" s="179"/>
      <c r="J63" s="173"/>
      <c r="K63" s="173"/>
      <c r="L63" s="179"/>
      <c r="M63" s="180" t="str">
        <f>H9</f>
        <v>Australia</v>
      </c>
      <c r="N63" s="180"/>
      <c r="O63" s="180"/>
      <c r="P63" s="180"/>
      <c r="Q63" s="181" t="s">
        <v>526</v>
      </c>
      <c r="R63" s="111"/>
      <c r="S63" s="149"/>
      <c r="T63" s="6"/>
      <c r="U63" s="6"/>
      <c r="V63" s="6"/>
      <c r="W63" s="6"/>
      <c r="X63" s="1"/>
      <c r="Y63" s="1"/>
      <c r="Z63" s="1"/>
      <c r="AA63" s="1"/>
      <c r="AB63" s="150"/>
      <c r="AC63" s="64"/>
      <c r="AD63" s="64"/>
      <c r="AF63" s="98"/>
      <c r="AG63" s="98"/>
      <c r="AH63" s="98"/>
      <c r="AI63" s="98"/>
      <c r="AJ63" s="98"/>
      <c r="AK63" s="98"/>
      <c r="AL63" s="98"/>
      <c r="CT63" s="101"/>
      <c r="CU63" s="101"/>
      <c r="CV63" s="63"/>
      <c r="CW63" s="101"/>
    </row>
    <row r="64" spans="2:101" s="60" customFormat="1" ht="13.5" customHeight="1" x14ac:dyDescent="0.25">
      <c r="B64" s="166">
        <v>61</v>
      </c>
      <c r="C64" s="169" t="s">
        <v>515</v>
      </c>
      <c r="D64" s="170">
        <f>Calculator!EB67</f>
        <v>46199.625</v>
      </c>
      <c r="E64" s="171"/>
      <c r="F64" s="171"/>
      <c r="G64" s="171"/>
      <c r="H64" s="172" t="str">
        <f>M21</f>
        <v>Norway</v>
      </c>
      <c r="I64" s="172"/>
      <c r="J64" s="173"/>
      <c r="K64" s="173"/>
      <c r="L64" s="172"/>
      <c r="M64" s="174" t="str">
        <f>H20</f>
        <v>France</v>
      </c>
      <c r="N64" s="174"/>
      <c r="O64" s="174"/>
      <c r="P64" s="174"/>
      <c r="Q64" s="175" t="s">
        <v>523</v>
      </c>
      <c r="R64" s="111"/>
      <c r="S64" s="131" t="str">
        <f>INDEX(Language!$A$1:$K$177,MATCH("Group K",Language!$B$1:$B$177,0),MATCH(Setup!$C$5,Language!$A$1:$J$1,0))</f>
        <v>Group K</v>
      </c>
      <c r="T64" s="114"/>
      <c r="U64" s="114"/>
      <c r="V64" s="113" t="s">
        <v>67</v>
      </c>
      <c r="W64" s="113" t="s">
        <v>68</v>
      </c>
      <c r="X64" s="113" t="s">
        <v>69</v>
      </c>
      <c r="Y64" s="113" t="s">
        <v>70</v>
      </c>
      <c r="Z64" s="113" t="s">
        <v>75</v>
      </c>
      <c r="AA64" s="113" t="s">
        <v>72</v>
      </c>
      <c r="AB64" s="132" t="s">
        <v>71</v>
      </c>
      <c r="AC64" s="64"/>
      <c r="AD64" s="64"/>
      <c r="AF64" s="98"/>
      <c r="AG64" s="98"/>
      <c r="AH64" s="98"/>
      <c r="AI64" s="98"/>
      <c r="AJ64" s="98"/>
      <c r="AK64" s="98"/>
      <c r="AL64" s="98"/>
      <c r="CT64" s="101"/>
      <c r="CU64" s="101"/>
      <c r="CV64" s="63"/>
      <c r="CW64" s="101"/>
    </row>
    <row r="65" spans="2:101" s="60" customFormat="1" ht="13.5" customHeight="1" x14ac:dyDescent="0.25">
      <c r="B65" s="166">
        <v>62</v>
      </c>
      <c r="C65" s="176" t="s">
        <v>515</v>
      </c>
      <c r="D65" s="177">
        <f>Calculator!EB68</f>
        <v>46199.625</v>
      </c>
      <c r="E65" s="178"/>
      <c r="F65" s="178"/>
      <c r="G65" s="178"/>
      <c r="H65" s="179" t="str">
        <f>M20</f>
        <v>Senegal</v>
      </c>
      <c r="I65" s="179"/>
      <c r="J65" s="173"/>
      <c r="K65" s="173"/>
      <c r="L65" s="179"/>
      <c r="M65" s="180" t="str">
        <f>H21</f>
        <v>Iraq</v>
      </c>
      <c r="N65" s="180"/>
      <c r="O65" s="180"/>
      <c r="P65" s="180"/>
      <c r="Q65" s="181" t="s">
        <v>521</v>
      </c>
      <c r="R65" s="111"/>
      <c r="S65" s="155">
        <v>1</v>
      </c>
      <c r="T65" s="94" t="str">
        <f>INDEX(Calculator!C$67:C$70,MATCH($S65,Calculator!$B$67:$B$70,0),0)</f>
        <v>Portugal</v>
      </c>
      <c r="U65" s="94"/>
      <c r="V65" s="79">
        <f>SUM(W65:Y65)</f>
        <v>0</v>
      </c>
      <c r="W65" s="79">
        <f>INDEX(Calculator!D$67:D$70,MATCH($S65,Calculator!$B$67:$B$70,0),0)</f>
        <v>0</v>
      </c>
      <c r="X65" s="79">
        <f>INDEX(Calculator!E$67:E$70,MATCH($S65,Calculator!$B$67:$B$70,0),0)</f>
        <v>0</v>
      </c>
      <c r="Y65" s="79">
        <f>INDEX(Calculator!F$67:F$70,MATCH($S65,Calculator!$B$67:$B$70,0),0)</f>
        <v>0</v>
      </c>
      <c r="Z65" s="79">
        <f>INDEX(Calculator!G$67:G$70,MATCH($S65,Calculator!$B$67:$B$70,0),0)</f>
        <v>0</v>
      </c>
      <c r="AA65" s="79">
        <f>INDEX(Calculator!H$67:H$70,MATCH($S65,Calculator!$B$67:$B$70,0),0)</f>
        <v>0</v>
      </c>
      <c r="AB65" s="156">
        <f>INDEX(Calculator!J$67:J$70,MATCH($S65,Calculator!$B$67:$B$70,0),0)</f>
        <v>0</v>
      </c>
      <c r="AC65" s="64"/>
      <c r="AD65" s="64"/>
      <c r="AF65" s="98"/>
      <c r="AG65" s="98"/>
      <c r="AH65" s="98"/>
      <c r="AI65" s="98"/>
      <c r="AJ65" s="98"/>
      <c r="AK65" s="98"/>
      <c r="AL65" s="98"/>
      <c r="CT65" s="101"/>
      <c r="CU65" s="101"/>
      <c r="CV65" s="63"/>
      <c r="CW65" s="101"/>
    </row>
    <row r="66" spans="2:101" s="60" customFormat="1" ht="13.5" customHeight="1" x14ac:dyDescent="0.25">
      <c r="B66" s="166">
        <v>63</v>
      </c>
      <c r="C66" s="169" t="s">
        <v>77</v>
      </c>
      <c r="D66" s="170">
        <f>Calculator!EB69</f>
        <v>46199.958333333336</v>
      </c>
      <c r="E66" s="171"/>
      <c r="F66" s="171"/>
      <c r="G66" s="171"/>
      <c r="H66" s="172" t="str">
        <f>M19</f>
        <v>Egypt</v>
      </c>
      <c r="I66" s="172"/>
      <c r="J66" s="173"/>
      <c r="K66" s="173"/>
      <c r="L66" s="172"/>
      <c r="M66" s="174" t="str">
        <f>H18</f>
        <v>Iran</v>
      </c>
      <c r="N66" s="174"/>
      <c r="O66" s="174"/>
      <c r="P66" s="174"/>
      <c r="Q66" s="175" t="s">
        <v>533</v>
      </c>
      <c r="R66" s="111"/>
      <c r="S66" s="155">
        <v>2</v>
      </c>
      <c r="T66" s="94" t="str">
        <f>INDEX(Calculator!C$67:C$70,MATCH($S66,Calculator!$B$67:$B$70,0),0)</f>
        <v>Colombia</v>
      </c>
      <c r="U66" s="94"/>
      <c r="V66" s="79">
        <f t="shared" ref="V66:V68" si="10">SUM(W66:Y66)</f>
        <v>0</v>
      </c>
      <c r="W66" s="79">
        <f>INDEX(Calculator!D$67:D$70,MATCH($S66,Calculator!$B$67:$B$70,0),0)</f>
        <v>0</v>
      </c>
      <c r="X66" s="79">
        <f>INDEX(Calculator!E$67:E$70,MATCH($S66,Calculator!$B$67:$B$70,0),0)</f>
        <v>0</v>
      </c>
      <c r="Y66" s="79">
        <f>INDEX(Calculator!F$67:F$70,MATCH($S66,Calculator!$B$67:$B$70,0),0)</f>
        <v>0</v>
      </c>
      <c r="Z66" s="79">
        <f>INDEX(Calculator!G$67:G$70,MATCH($S66,Calculator!$B$67:$B$70,0),0)</f>
        <v>0</v>
      </c>
      <c r="AA66" s="79">
        <f>INDEX(Calculator!H$67:H$70,MATCH($S66,Calculator!$B$67:$B$70,0),0)</f>
        <v>0</v>
      </c>
      <c r="AB66" s="156">
        <f>INDEX(Calculator!J$67:J$70,MATCH($S66,Calculator!$B$67:$B$70,0),0)</f>
        <v>0</v>
      </c>
      <c r="AC66" s="64"/>
      <c r="AD66" s="64"/>
      <c r="AF66" s="98"/>
      <c r="AG66" s="98"/>
      <c r="AH66" s="98"/>
      <c r="AI66" s="98"/>
      <c r="AJ66" s="98"/>
      <c r="AK66" s="98"/>
      <c r="AL66" s="98"/>
      <c r="CT66" s="101"/>
      <c r="CU66" s="101"/>
      <c r="CV66" s="63"/>
      <c r="CW66" s="101"/>
    </row>
    <row r="67" spans="2:101" s="60" customFormat="1" ht="13.5" customHeight="1" x14ac:dyDescent="0.25">
      <c r="B67" s="166">
        <v>64</v>
      </c>
      <c r="C67" s="176" t="s">
        <v>77</v>
      </c>
      <c r="D67" s="177">
        <f>Calculator!EB70</f>
        <v>46199.958333333336</v>
      </c>
      <c r="E67" s="178"/>
      <c r="F67" s="178"/>
      <c r="G67" s="178"/>
      <c r="H67" s="179" t="str">
        <f>M18</f>
        <v>New Zealand</v>
      </c>
      <c r="I67" s="179"/>
      <c r="J67" s="173"/>
      <c r="K67" s="173"/>
      <c r="L67" s="179"/>
      <c r="M67" s="180" t="str">
        <f>H19</f>
        <v>Belgium</v>
      </c>
      <c r="N67" s="180"/>
      <c r="O67" s="180"/>
      <c r="P67" s="180"/>
      <c r="Q67" s="181" t="s">
        <v>524</v>
      </c>
      <c r="R67" s="111"/>
      <c r="S67" s="121">
        <v>3</v>
      </c>
      <c r="T67" s="82" t="str">
        <f>INDEX(Calculator!C$67:C$70,MATCH($S67,Calculator!$B$67:$B$70,0),0)</f>
        <v>DR Congo</v>
      </c>
      <c r="U67" s="82"/>
      <c r="V67" s="69">
        <f t="shared" si="10"/>
        <v>0</v>
      </c>
      <c r="W67" s="69">
        <f>INDEX(Calculator!D$67:D$70,MATCH($S67,Calculator!$B$67:$B$70,0),0)</f>
        <v>0</v>
      </c>
      <c r="X67" s="69">
        <f>INDEX(Calculator!E$67:E$70,MATCH($S67,Calculator!$B$67:$B$70,0),0)</f>
        <v>0</v>
      </c>
      <c r="Y67" s="69">
        <f>INDEX(Calculator!F$67:F$70,MATCH($S67,Calculator!$B$67:$B$70,0),0)</f>
        <v>0</v>
      </c>
      <c r="Z67" s="83">
        <f>INDEX(Calculator!G$67:G$70,MATCH($S67,Calculator!$B$67:$B$70,0),0)</f>
        <v>0</v>
      </c>
      <c r="AA67" s="83">
        <f>INDEX(Calculator!H$67:H$70,MATCH($S67,Calculator!$B$67:$B$70,0),0)</f>
        <v>0</v>
      </c>
      <c r="AB67" s="122">
        <f>INDEX(Calculator!J$67:J$70,MATCH($S67,Calculator!$B$67:$B$70,0),0)</f>
        <v>0</v>
      </c>
      <c r="AC67" s="64"/>
      <c r="AD67" s="64"/>
      <c r="AF67" s="98"/>
      <c r="AG67" s="98"/>
      <c r="AH67" s="98"/>
      <c r="AI67" s="98"/>
      <c r="AJ67" s="98"/>
      <c r="AK67" s="98"/>
      <c r="AL67" s="98"/>
      <c r="CT67" s="101"/>
      <c r="CU67" s="101"/>
      <c r="CV67" s="63"/>
      <c r="CW67" s="101"/>
    </row>
    <row r="68" spans="2:101" s="60" customFormat="1" ht="13.5" customHeight="1" x14ac:dyDescent="0.25">
      <c r="B68" s="166">
        <v>65</v>
      </c>
      <c r="C68" s="169" t="s">
        <v>78</v>
      </c>
      <c r="D68" s="170">
        <f>Calculator!EB71</f>
        <v>46199.833333333336</v>
      </c>
      <c r="E68" s="171"/>
      <c r="F68" s="171"/>
      <c r="G68" s="171"/>
      <c r="H68" s="172" t="str">
        <f>M17</f>
        <v>Cabo Verde</v>
      </c>
      <c r="I68" s="172"/>
      <c r="J68" s="173"/>
      <c r="K68" s="173"/>
      <c r="L68" s="172"/>
      <c r="M68" s="174" t="str">
        <f>H16</f>
        <v>Saudi Arabia</v>
      </c>
      <c r="N68" s="174"/>
      <c r="O68" s="174"/>
      <c r="P68" s="174"/>
      <c r="Q68" s="175" t="s">
        <v>528</v>
      </c>
      <c r="R68" s="111"/>
      <c r="S68" s="121">
        <v>4</v>
      </c>
      <c r="T68" s="82" t="str">
        <f>INDEX(Calculator!C$67:C$70,MATCH($S68,Calculator!$B$67:$B$70,0),0)</f>
        <v>Uzbekistan</v>
      </c>
      <c r="U68" s="82"/>
      <c r="V68" s="69">
        <f t="shared" si="10"/>
        <v>0</v>
      </c>
      <c r="W68" s="69">
        <f>INDEX(Calculator!D$67:D$70,MATCH($S68,Calculator!$B$67:$B$70,0),0)</f>
        <v>0</v>
      </c>
      <c r="X68" s="69">
        <f>INDEX(Calculator!E$67:E$70,MATCH($S68,Calculator!$B$67:$B$70,0),0)</f>
        <v>0</v>
      </c>
      <c r="Y68" s="69">
        <f>INDEX(Calculator!F$67:F$70,MATCH($S68,Calculator!$B$67:$B$70,0),0)</f>
        <v>0</v>
      </c>
      <c r="Z68" s="83">
        <f>INDEX(Calculator!G$67:G$70,MATCH($S68,Calculator!$B$67:$B$70,0),0)</f>
        <v>0</v>
      </c>
      <c r="AA68" s="83">
        <f>INDEX(Calculator!H$67:H$70,MATCH($S68,Calculator!$B$67:$B$70,0),0)</f>
        <v>0</v>
      </c>
      <c r="AB68" s="122">
        <f>INDEX(Calculator!J$67:J$70,MATCH($S68,Calculator!$B$67:$B$70,0),0)</f>
        <v>0</v>
      </c>
      <c r="AC68" s="64"/>
      <c r="AD68" s="64"/>
      <c r="AF68" s="98"/>
      <c r="AG68" s="98"/>
      <c r="AH68" s="98"/>
      <c r="AI68" s="98"/>
      <c r="AJ68" s="98"/>
      <c r="AK68" s="98"/>
      <c r="AL68" s="98"/>
      <c r="CT68" s="101"/>
      <c r="CU68" s="101"/>
      <c r="CV68" s="63"/>
      <c r="CW68" s="101"/>
    </row>
    <row r="69" spans="2:101" s="60" customFormat="1" ht="13.5" customHeight="1" x14ac:dyDescent="0.25">
      <c r="B69" s="166">
        <v>66</v>
      </c>
      <c r="C69" s="176" t="s">
        <v>78</v>
      </c>
      <c r="D69" s="177">
        <f>Calculator!EB73</f>
        <v>46199.833333333336</v>
      </c>
      <c r="E69" s="178"/>
      <c r="F69" s="178"/>
      <c r="G69" s="178"/>
      <c r="H69" s="179" t="str">
        <f>M16</f>
        <v>Uruguay</v>
      </c>
      <c r="I69" s="179"/>
      <c r="J69" s="173"/>
      <c r="K69" s="173"/>
      <c r="L69" s="179"/>
      <c r="M69" s="180" t="str">
        <f>H17</f>
        <v>Spain</v>
      </c>
      <c r="N69" s="180"/>
      <c r="O69" s="180"/>
      <c r="P69" s="180"/>
      <c r="Q69" s="181" t="s">
        <v>520</v>
      </c>
      <c r="R69" s="111"/>
      <c r="S69" s="149"/>
      <c r="T69" s="6"/>
      <c r="U69" s="6"/>
      <c r="V69" s="6"/>
      <c r="W69" s="6"/>
      <c r="X69" s="1"/>
      <c r="Y69" s="1"/>
      <c r="Z69" s="1"/>
      <c r="AA69" s="1"/>
      <c r="AB69" s="150"/>
      <c r="AC69" s="64"/>
      <c r="AD69" s="64"/>
      <c r="AF69" s="98"/>
      <c r="AG69" s="98"/>
      <c r="AH69" s="98"/>
      <c r="AI69" s="98"/>
      <c r="AJ69" s="98"/>
      <c r="AK69" s="98"/>
      <c r="AL69" s="98"/>
      <c r="CT69" s="101"/>
      <c r="CU69" s="101"/>
      <c r="CV69" s="63"/>
      <c r="CW69" s="101"/>
    </row>
    <row r="70" spans="2:101" s="60" customFormat="1" ht="13.5" customHeight="1" x14ac:dyDescent="0.25">
      <c r="B70" s="166">
        <v>67</v>
      </c>
      <c r="C70" s="169" t="s">
        <v>70</v>
      </c>
      <c r="D70" s="170">
        <f>Calculator!EB74</f>
        <v>46200.708333333336</v>
      </c>
      <c r="E70" s="171"/>
      <c r="F70" s="171"/>
      <c r="G70" s="171"/>
      <c r="H70" s="172" t="str">
        <f>M24</f>
        <v>Panama</v>
      </c>
      <c r="I70" s="172"/>
      <c r="J70" s="173"/>
      <c r="K70" s="173"/>
      <c r="L70" s="172"/>
      <c r="M70" s="174" t="str">
        <f>H25</f>
        <v>England</v>
      </c>
      <c r="N70" s="174"/>
      <c r="O70" s="174"/>
      <c r="P70" s="174"/>
      <c r="Q70" s="175" t="s">
        <v>525</v>
      </c>
      <c r="R70" s="111"/>
      <c r="S70" s="131" t="str">
        <f>INDEX(Language!$A$1:$K$177,MATCH("Group L",Language!$B$1:$B$177,0),MATCH(Setup!$C$5,Language!$A$1:$J$1,0))</f>
        <v>Group L</v>
      </c>
      <c r="T70" s="114"/>
      <c r="U70" s="114"/>
      <c r="V70" s="113" t="s">
        <v>67</v>
      </c>
      <c r="W70" s="113" t="s">
        <v>68</v>
      </c>
      <c r="X70" s="113" t="s">
        <v>69</v>
      </c>
      <c r="Y70" s="113" t="s">
        <v>70</v>
      </c>
      <c r="Z70" s="113" t="s">
        <v>75</v>
      </c>
      <c r="AA70" s="113" t="s">
        <v>72</v>
      </c>
      <c r="AB70" s="132" t="s">
        <v>71</v>
      </c>
      <c r="AC70" s="64"/>
      <c r="AD70" s="64"/>
      <c r="AF70" s="98"/>
      <c r="AG70" s="98"/>
      <c r="AH70" s="98"/>
      <c r="AI70" s="98"/>
      <c r="AJ70" s="98"/>
      <c r="AK70" s="98"/>
      <c r="AL70" s="98"/>
      <c r="CT70" s="101"/>
      <c r="CU70" s="101"/>
      <c r="CV70" s="63"/>
      <c r="CW70" s="101"/>
    </row>
    <row r="71" spans="2:101" s="60" customFormat="1" ht="13.5" customHeight="1" x14ac:dyDescent="0.25">
      <c r="B71" s="166">
        <v>68</v>
      </c>
      <c r="C71" s="176" t="s">
        <v>70</v>
      </c>
      <c r="D71" s="177">
        <f>Calculator!EB75</f>
        <v>46200.708333333336</v>
      </c>
      <c r="E71" s="178"/>
      <c r="F71" s="178"/>
      <c r="G71" s="178"/>
      <c r="H71" s="179" t="str">
        <f>M25</f>
        <v>Croatia</v>
      </c>
      <c r="I71" s="179"/>
      <c r="J71" s="173"/>
      <c r="K71" s="173"/>
      <c r="L71" s="179"/>
      <c r="M71" s="180" t="str">
        <f>H24</f>
        <v>Ghana</v>
      </c>
      <c r="N71" s="180"/>
      <c r="O71" s="180"/>
      <c r="P71" s="180"/>
      <c r="Q71" s="181" t="s">
        <v>527</v>
      </c>
      <c r="R71" s="111"/>
      <c r="S71" s="157">
        <v>1</v>
      </c>
      <c r="T71" s="95" t="str">
        <f>INDEX(Calculator!C$73:C$76,MATCH($S71,Calculator!$B$73:$B$76,0),0)</f>
        <v>England</v>
      </c>
      <c r="U71" s="95"/>
      <c r="V71" s="80">
        <f>SUM(W71:Y71)</f>
        <v>0</v>
      </c>
      <c r="W71" s="80">
        <f>INDEX(Calculator!D$73:D$76,MATCH($S71,Calculator!$B$73:$B$76,0),0)</f>
        <v>0</v>
      </c>
      <c r="X71" s="80">
        <f>INDEX(Calculator!E$73:E$76,MATCH($S71,Calculator!$B$73:$B$76,0),0)</f>
        <v>0</v>
      </c>
      <c r="Y71" s="80">
        <f>INDEX(Calculator!F$73:F$76,MATCH($S71,Calculator!$B$73:$B$76,0),0)</f>
        <v>0</v>
      </c>
      <c r="Z71" s="80">
        <f>INDEX(Calculator!G$73:G$76,MATCH($S71,Calculator!$B$73:$B$76,0),0)</f>
        <v>0</v>
      </c>
      <c r="AA71" s="80">
        <f>INDEX(Calculator!H$73:H$76,MATCH($S71,Calculator!$B$73:$B$76,0),0)</f>
        <v>0</v>
      </c>
      <c r="AB71" s="158">
        <f>INDEX(Calculator!J$73:J$76,MATCH($S71,Calculator!$B$73:$B$76,0),0)</f>
        <v>0</v>
      </c>
      <c r="AC71" s="64"/>
      <c r="AD71" s="64"/>
      <c r="AF71" s="98"/>
      <c r="AG71" s="98"/>
      <c r="AH71" s="98"/>
      <c r="AI71" s="98"/>
      <c r="AJ71" s="98"/>
      <c r="AK71" s="98"/>
      <c r="AL71" s="98"/>
      <c r="CT71" s="101"/>
      <c r="CU71" s="101"/>
      <c r="CV71" s="63"/>
      <c r="CW71" s="101"/>
    </row>
    <row r="72" spans="2:101" s="60" customFormat="1" ht="13.5" customHeight="1" x14ac:dyDescent="0.25">
      <c r="B72" s="166">
        <v>69</v>
      </c>
      <c r="C72" s="169" t="s">
        <v>516</v>
      </c>
      <c r="D72" s="170">
        <f>Calculator!EB76</f>
        <v>46200.916666666664</v>
      </c>
      <c r="E72" s="171"/>
      <c r="F72" s="171"/>
      <c r="G72" s="171"/>
      <c r="H72" s="172" t="str">
        <f>M22</f>
        <v>Algeria</v>
      </c>
      <c r="I72" s="172"/>
      <c r="J72" s="173"/>
      <c r="K72" s="173"/>
      <c r="L72" s="172"/>
      <c r="M72" s="174" t="str">
        <f>H23</f>
        <v>Austria</v>
      </c>
      <c r="N72" s="174"/>
      <c r="O72" s="174"/>
      <c r="P72" s="174"/>
      <c r="Q72" s="175" t="s">
        <v>534</v>
      </c>
      <c r="R72" s="111"/>
      <c r="S72" s="157">
        <v>2</v>
      </c>
      <c r="T72" s="95" t="str">
        <f>INDEX(Calculator!C$73:C$76,MATCH($S72,Calculator!$B$73:$B$76,0),0)</f>
        <v>Croatia</v>
      </c>
      <c r="U72" s="95"/>
      <c r="V72" s="80">
        <f t="shared" ref="V72:V74" si="11">SUM(W72:Y72)</f>
        <v>0</v>
      </c>
      <c r="W72" s="80">
        <f>INDEX(Calculator!D$73:D$76,MATCH($S72,Calculator!$B$73:$B$76,0),0)</f>
        <v>0</v>
      </c>
      <c r="X72" s="80">
        <f>INDEX(Calculator!E$73:E$76,MATCH($S72,Calculator!$B$73:$B$76,0),0)</f>
        <v>0</v>
      </c>
      <c r="Y72" s="80">
        <f>INDEX(Calculator!F$73:F$76,MATCH($S72,Calculator!$B$73:$B$76,0),0)</f>
        <v>0</v>
      </c>
      <c r="Z72" s="80">
        <f>INDEX(Calculator!G$73:G$76,MATCH($S72,Calculator!$B$73:$B$76,0),0)</f>
        <v>0</v>
      </c>
      <c r="AA72" s="80">
        <f>INDEX(Calculator!H$73:H$76,MATCH($S72,Calculator!$B$73:$B$76,0),0)</f>
        <v>0</v>
      </c>
      <c r="AB72" s="158">
        <f>INDEX(Calculator!J$73:J$76,MATCH($S72,Calculator!$B$73:$B$76,0),0)</f>
        <v>0</v>
      </c>
      <c r="AC72" s="64"/>
      <c r="AD72" s="64"/>
      <c r="AF72" s="98"/>
      <c r="AG72" s="98"/>
      <c r="AH72" s="98"/>
      <c r="AI72" s="98"/>
      <c r="AJ72" s="98"/>
      <c r="AK72" s="98"/>
      <c r="AL72" s="98"/>
      <c r="CT72" s="101"/>
      <c r="CU72" s="101"/>
      <c r="CV72" s="63"/>
      <c r="CW72" s="101"/>
    </row>
    <row r="73" spans="2:101" s="60" customFormat="1" ht="13.5" customHeight="1" x14ac:dyDescent="0.25">
      <c r="B73" s="166">
        <v>70</v>
      </c>
      <c r="C73" s="176" t="s">
        <v>516</v>
      </c>
      <c r="D73" s="177">
        <f>Calculator!EB77</f>
        <v>46200.916666666664</v>
      </c>
      <c r="E73" s="178"/>
      <c r="F73" s="178"/>
      <c r="G73" s="178"/>
      <c r="H73" s="179" t="str">
        <f>M23</f>
        <v>Jordan</v>
      </c>
      <c r="I73" s="179"/>
      <c r="J73" s="173"/>
      <c r="K73" s="173"/>
      <c r="L73" s="179"/>
      <c r="M73" s="180" t="str">
        <f>H22</f>
        <v>Argentina</v>
      </c>
      <c r="N73" s="180"/>
      <c r="O73" s="180"/>
      <c r="P73" s="180"/>
      <c r="Q73" s="181" t="s">
        <v>529</v>
      </c>
      <c r="R73" s="111"/>
      <c r="S73" s="121">
        <v>3</v>
      </c>
      <c r="T73" s="82" t="str">
        <f>INDEX(Calculator!C$73:C$76,MATCH($S73,Calculator!$B$73:$B$76,0),0)</f>
        <v>Panama</v>
      </c>
      <c r="U73" s="82"/>
      <c r="V73" s="69">
        <f t="shared" si="11"/>
        <v>0</v>
      </c>
      <c r="W73" s="69">
        <f>INDEX(Calculator!D$73:D$76,MATCH($S73,Calculator!$B$73:$B$76,0),0)</f>
        <v>0</v>
      </c>
      <c r="X73" s="69">
        <f>INDEX(Calculator!E$73:E$76,MATCH($S73,Calculator!$B$73:$B$76,0),0)</f>
        <v>0</v>
      </c>
      <c r="Y73" s="69">
        <f>INDEX(Calculator!F$73:F$76,MATCH($S73,Calculator!$B$73:$B$76,0),0)</f>
        <v>0</v>
      </c>
      <c r="Z73" s="83">
        <f>INDEX(Calculator!G$73:G$76,MATCH($S73,Calculator!$B$73:$B$76,0),0)</f>
        <v>0</v>
      </c>
      <c r="AA73" s="83">
        <f>INDEX(Calculator!H$73:H$76,MATCH($S73,Calculator!$B$73:$B$76,0),0)</f>
        <v>0</v>
      </c>
      <c r="AB73" s="122">
        <f>INDEX(Calculator!J$73:J$76,MATCH($S73,Calculator!$B$73:$B$76,0),0)</f>
        <v>0</v>
      </c>
      <c r="AC73" s="64"/>
      <c r="AD73" s="64"/>
      <c r="AF73" s="98"/>
      <c r="AG73" s="98"/>
      <c r="AH73" s="98"/>
      <c r="AI73" s="98"/>
      <c r="AJ73" s="98"/>
      <c r="AK73" s="98"/>
      <c r="AL73" s="98"/>
      <c r="CT73" s="101"/>
      <c r="CU73" s="101"/>
      <c r="CV73" s="63"/>
      <c r="CW73" s="101"/>
    </row>
    <row r="74" spans="2:101" s="60" customFormat="1" ht="13.5" customHeight="1" x14ac:dyDescent="0.25">
      <c r="B74" s="166">
        <v>71</v>
      </c>
      <c r="C74" s="169" t="s">
        <v>517</v>
      </c>
      <c r="D74" s="170">
        <f>Calculator!EB78</f>
        <v>46200.8125</v>
      </c>
      <c r="E74" s="171"/>
      <c r="F74" s="171"/>
      <c r="G74" s="171"/>
      <c r="H74" s="172" t="str">
        <f>M27</f>
        <v>Colombia</v>
      </c>
      <c r="I74" s="172"/>
      <c r="J74" s="173"/>
      <c r="K74" s="173"/>
      <c r="L74" s="172"/>
      <c r="M74" s="174" t="str">
        <f>H26</f>
        <v>Portugal</v>
      </c>
      <c r="N74" s="174"/>
      <c r="O74" s="174"/>
      <c r="P74" s="174"/>
      <c r="Q74" s="175" t="s">
        <v>531</v>
      </c>
      <c r="R74" s="111"/>
      <c r="S74" s="121">
        <v>4</v>
      </c>
      <c r="T74" s="82" t="str">
        <f>INDEX(Calculator!C$73:C$76,MATCH($S74,Calculator!$B$73:$B$76,0),0)</f>
        <v>Ghana</v>
      </c>
      <c r="U74" s="82"/>
      <c r="V74" s="69">
        <f t="shared" si="11"/>
        <v>0</v>
      </c>
      <c r="W74" s="69">
        <f>INDEX(Calculator!D$73:D$76,MATCH($S74,Calculator!$B$73:$B$76,0),0)</f>
        <v>0</v>
      </c>
      <c r="X74" s="69">
        <f>INDEX(Calculator!E$73:E$76,MATCH($S74,Calculator!$B$73:$B$76,0),0)</f>
        <v>0</v>
      </c>
      <c r="Y74" s="69">
        <f>INDEX(Calculator!F$73:F$76,MATCH($S74,Calculator!$B$73:$B$76,0),0)</f>
        <v>0</v>
      </c>
      <c r="Z74" s="83">
        <f>INDEX(Calculator!G$73:G$76,MATCH($S74,Calculator!$B$73:$B$76,0),0)</f>
        <v>0</v>
      </c>
      <c r="AA74" s="83">
        <f>INDEX(Calculator!H$73:H$76,MATCH($S74,Calculator!$B$73:$B$76,0),0)</f>
        <v>0</v>
      </c>
      <c r="AB74" s="122">
        <f>INDEX(Calculator!J$73:J$76,MATCH($S74,Calculator!$B$73:$B$76,0),0)</f>
        <v>0</v>
      </c>
      <c r="AC74" s="64"/>
      <c r="AD74" s="64"/>
      <c r="AF74" s="98"/>
      <c r="AG74" s="98"/>
      <c r="AH74" s="98"/>
      <c r="AI74" s="98"/>
      <c r="AJ74" s="98"/>
      <c r="AK74" s="98"/>
      <c r="AL74" s="98"/>
      <c r="CT74" s="101"/>
      <c r="CU74" s="101"/>
      <c r="CV74" s="63"/>
      <c r="CW74" s="101"/>
    </row>
    <row r="75" spans="2:101" s="60" customFormat="1" ht="13.5" customHeight="1" x14ac:dyDescent="0.25">
      <c r="B75" s="167">
        <v>72</v>
      </c>
      <c r="C75" s="176" t="s">
        <v>517</v>
      </c>
      <c r="D75" s="177">
        <f>Calculator!EB79</f>
        <v>46200.8125</v>
      </c>
      <c r="E75" s="178"/>
      <c r="F75" s="178"/>
      <c r="G75" s="178"/>
      <c r="H75" s="179" t="str">
        <f>M26</f>
        <v>DR Congo</v>
      </c>
      <c r="I75" s="179"/>
      <c r="J75" s="173"/>
      <c r="K75" s="173"/>
      <c r="L75" s="179"/>
      <c r="M75" s="180" t="str">
        <f>H27</f>
        <v>Uzbekistan</v>
      </c>
      <c r="N75" s="180"/>
      <c r="O75" s="180"/>
      <c r="P75" s="180"/>
      <c r="Q75" s="181" t="s">
        <v>532</v>
      </c>
      <c r="R75" s="111"/>
      <c r="S75" s="149"/>
      <c r="T75" s="6"/>
      <c r="U75" s="6"/>
      <c r="V75" s="6"/>
      <c r="W75" s="6"/>
      <c r="X75" s="1"/>
      <c r="Y75" s="1"/>
      <c r="Z75" s="1"/>
      <c r="AA75" s="1"/>
      <c r="AB75" s="150"/>
      <c r="AC75" s="64"/>
      <c r="AD75" s="64"/>
      <c r="AF75" s="98"/>
      <c r="AG75" s="98"/>
      <c r="AH75" s="98"/>
      <c r="AI75" s="98"/>
      <c r="AJ75" s="98"/>
      <c r="AK75" s="98"/>
      <c r="AL75" s="98"/>
      <c r="CT75" s="101"/>
      <c r="CU75" s="101"/>
      <c r="CV75" s="63"/>
      <c r="CW75" s="101"/>
    </row>
    <row r="76" spans="2:101" s="60" customFormat="1" ht="13.5" customHeight="1" x14ac:dyDescent="0.25">
      <c r="B76" s="163" t="s">
        <v>416</v>
      </c>
      <c r="C76" s="164"/>
      <c r="D76" s="164"/>
      <c r="E76" s="164"/>
      <c r="F76" s="164"/>
      <c r="G76" s="164"/>
      <c r="H76" s="164"/>
      <c r="I76" s="164"/>
      <c r="J76" s="225"/>
      <c r="K76" s="225"/>
      <c r="L76" s="164"/>
      <c r="M76" s="164"/>
      <c r="N76" s="164"/>
      <c r="O76" s="266" t="s">
        <v>550</v>
      </c>
      <c r="P76" s="266"/>
      <c r="Q76" s="229"/>
      <c r="S76" s="262" t="s">
        <v>592</v>
      </c>
      <c r="T76" s="263"/>
      <c r="U76" s="263"/>
      <c r="V76" s="263"/>
      <c r="W76" s="263"/>
      <c r="X76" s="263"/>
      <c r="Y76" s="263"/>
      <c r="Z76" s="263"/>
      <c r="AA76" s="263"/>
      <c r="AB76" s="264"/>
      <c r="AD76" s="64"/>
      <c r="AF76" s="98"/>
      <c r="AG76" s="98"/>
      <c r="AH76" s="98"/>
      <c r="AI76" s="98"/>
      <c r="AJ76" s="98"/>
      <c r="AK76" s="98"/>
      <c r="AL76" s="98"/>
      <c r="CR76" s="101"/>
      <c r="CS76" s="101"/>
      <c r="CT76" s="63"/>
      <c r="CU76" s="101"/>
    </row>
    <row r="77" spans="2:101" s="60" customFormat="1" ht="13.5" customHeight="1" x14ac:dyDescent="0.25">
      <c r="B77" s="166">
        <v>73</v>
      </c>
      <c r="C77" s="182" t="s">
        <v>554</v>
      </c>
      <c r="D77" s="183">
        <f>Calculator!EB80</f>
        <v>46201.625</v>
      </c>
      <c r="E77" s="184"/>
      <c r="F77" s="184"/>
      <c r="G77" s="184"/>
      <c r="H77" s="185" t="str">
        <f>IF(SUM(V5:V8)=12,T6,INDEX(Language!$A$1:$J$177,MATCH("Group A Runner Up",Language!$B$1:$B$177,0),MATCH(Setup!$C$5,Language!$A$1:$J$1,0)))</f>
        <v>Group A Runner Up</v>
      </c>
      <c r="I77" s="185"/>
      <c r="J77" s="186"/>
      <c r="K77" s="186"/>
      <c r="L77" s="185"/>
      <c r="M77" s="187" t="str">
        <f>IF(SUM(V11:V14)=12,T12,INDEX(Language!$A$1:$J$177,MATCH("Group B Runner Up",Language!$B$1:$B$177,0),MATCH(Setup!$C$5,Language!$A$1:$J$1,0)))</f>
        <v>Group B Runner Up</v>
      </c>
      <c r="N77" s="187"/>
      <c r="O77" s="226"/>
      <c r="P77" s="226"/>
      <c r="Q77" s="188" t="s">
        <v>522</v>
      </c>
      <c r="S77" s="168"/>
      <c r="T77" s="112" t="s">
        <v>14</v>
      </c>
      <c r="U77" s="112" t="s">
        <v>549</v>
      </c>
      <c r="V77" s="113" t="s">
        <v>67</v>
      </c>
      <c r="W77" s="113" t="s">
        <v>68</v>
      </c>
      <c r="X77" s="113" t="s">
        <v>69</v>
      </c>
      <c r="Y77" s="113" t="s">
        <v>70</v>
      </c>
      <c r="Z77" s="113" t="s">
        <v>75</v>
      </c>
      <c r="AA77" s="113" t="s">
        <v>72</v>
      </c>
      <c r="AB77" s="132" t="s">
        <v>71</v>
      </c>
      <c r="AD77" s="64"/>
      <c r="AF77" s="98"/>
      <c r="AG77" s="98"/>
      <c r="AH77" s="98"/>
      <c r="AI77" s="98"/>
      <c r="AJ77" s="98"/>
      <c r="AK77" s="98"/>
      <c r="AL77" s="98"/>
      <c r="CR77" s="101"/>
      <c r="CS77" s="101"/>
      <c r="CT77" s="63"/>
      <c r="CU77" s="101"/>
    </row>
    <row r="78" spans="2:101" s="60" customFormat="1" ht="13.5" customHeight="1" x14ac:dyDescent="0.25">
      <c r="B78" s="166">
        <v>74</v>
      </c>
      <c r="C78" s="182"/>
      <c r="D78" s="183">
        <f>Calculator!EB81</f>
        <v>46202.6875</v>
      </c>
      <c r="E78" s="184"/>
      <c r="F78" s="184"/>
      <c r="G78" s="184"/>
      <c r="H78" s="185" t="str">
        <f>IF(SUM(V29:V32)=12,T29,INDEX(Language!$A$1:$J$177,MATCH("Group E Winner",Language!$B$1:$B$177,0),MATCH(Setup!$C$5,Language!$A$1:$J$1,0)))</f>
        <v>Group E Winner</v>
      </c>
      <c r="I78" s="185"/>
      <c r="J78" s="186"/>
      <c r="K78" s="186"/>
      <c r="L78" s="185"/>
      <c r="M78" s="187" t="str">
        <f>IF(SUM(V$78:V$89)=36,Calculator!E677,INDEX(Language!$A$1:$J$177,MATCH("3rd Group A/B/C/D/F",Language!$B$1:$B$177,0),MATCH(Setup!$C$5,Language!$A$1:$J$1,0)))</f>
        <v>3rd Group A/B/C/D/F</v>
      </c>
      <c r="N78" s="187"/>
      <c r="O78" s="226"/>
      <c r="P78" s="226"/>
      <c r="Q78" s="188" t="s">
        <v>523</v>
      </c>
      <c r="S78" s="161">
        <v>1</v>
      </c>
      <c r="T78" s="162" t="str">
        <f>Calculator!U658</f>
        <v>Australia</v>
      </c>
      <c r="U78" s="162" t="str">
        <f>Calculator!T658</f>
        <v>D</v>
      </c>
      <c r="V78" s="74">
        <f>SUM(W78:Y78)</f>
        <v>0</v>
      </c>
      <c r="W78" s="74">
        <f>INDEX(W$5:W$74,MATCH($T78,$T$5:$T$74,0),0)</f>
        <v>0</v>
      </c>
      <c r="X78" s="74">
        <f t="shared" ref="X78:AB78" si="12">INDEX(X$5:X$74,MATCH($T78,$T$5:$T$74,0),0)</f>
        <v>0</v>
      </c>
      <c r="Y78" s="74">
        <f t="shared" si="12"/>
        <v>0</v>
      </c>
      <c r="Z78" s="74">
        <f t="shared" si="12"/>
        <v>0</v>
      </c>
      <c r="AA78" s="74">
        <f t="shared" si="12"/>
        <v>0</v>
      </c>
      <c r="AB78" s="144">
        <f t="shared" si="12"/>
        <v>0</v>
      </c>
      <c r="AD78" s="64"/>
      <c r="AF78" s="98"/>
      <c r="AG78" s="98"/>
      <c r="AH78" s="98"/>
      <c r="AI78" s="98"/>
      <c r="AJ78" s="98"/>
      <c r="AK78" s="98"/>
      <c r="AL78" s="98"/>
      <c r="CR78" s="101"/>
      <c r="CS78" s="101"/>
      <c r="CT78" s="63"/>
      <c r="CU78" s="101"/>
    </row>
    <row r="79" spans="2:101" s="60" customFormat="1" ht="13.5" customHeight="1" x14ac:dyDescent="0.25">
      <c r="B79" s="166">
        <v>75</v>
      </c>
      <c r="C79" s="182"/>
      <c r="D79" s="183">
        <f>Calculator!EB82</f>
        <v>46202.875</v>
      </c>
      <c r="E79" s="184"/>
      <c r="F79" s="184"/>
      <c r="G79" s="184"/>
      <c r="H79" s="185" t="str">
        <f>IF(SUM(V35:V38)=12,T35,INDEX(Language!$A$1:$J$177,MATCH("Group F Winner",Language!$B$1:$B$177,0),MATCH(Setup!$C$5,Language!$A$1:$J$1,0)))</f>
        <v>Group F Winner</v>
      </c>
      <c r="I79" s="185"/>
      <c r="J79" s="186"/>
      <c r="K79" s="186"/>
      <c r="L79" s="185"/>
      <c r="M79" s="187" t="str">
        <f>IF(SUM(V17:V20)=12,T18,INDEX(Language!$A$1:$J$177,MATCH("Group C Runner Up",Language!$B$1:$B$177,0),MATCH(Setup!$C$5,Language!$A$1:$J$1,0)))</f>
        <v>Group C Runner Up</v>
      </c>
      <c r="N79" s="187"/>
      <c r="O79" s="226"/>
      <c r="P79" s="226"/>
      <c r="Q79" s="188" t="s">
        <v>530</v>
      </c>
      <c r="S79" s="161">
        <v>2</v>
      </c>
      <c r="T79" s="162" t="str">
        <f>Calculator!U659</f>
        <v>Algeria</v>
      </c>
      <c r="U79" s="162" t="str">
        <f>Calculator!T659</f>
        <v>J</v>
      </c>
      <c r="V79" s="74">
        <f t="shared" ref="V79:V89" si="13">SUM(W79:Y79)</f>
        <v>0</v>
      </c>
      <c r="W79" s="74">
        <f t="shared" ref="W79:AB89" si="14">INDEX(W$5:W$74,MATCH($T79,$T$5:$T$74,0),0)</f>
        <v>0</v>
      </c>
      <c r="X79" s="74">
        <f t="shared" si="14"/>
        <v>0</v>
      </c>
      <c r="Y79" s="74">
        <f t="shared" si="14"/>
        <v>0</v>
      </c>
      <c r="Z79" s="74">
        <f t="shared" si="14"/>
        <v>0</v>
      </c>
      <c r="AA79" s="74">
        <f t="shared" si="14"/>
        <v>0</v>
      </c>
      <c r="AB79" s="144">
        <f t="shared" si="14"/>
        <v>0</v>
      </c>
      <c r="AD79" s="64"/>
      <c r="AF79" s="98"/>
      <c r="AG79" s="98"/>
      <c r="AH79" s="98"/>
      <c r="AI79" s="98"/>
      <c r="AJ79" s="98"/>
      <c r="AK79" s="98"/>
      <c r="AL79" s="98"/>
      <c r="CR79" s="101"/>
      <c r="CS79" s="101"/>
      <c r="CT79" s="63"/>
      <c r="CU79" s="101"/>
    </row>
    <row r="80" spans="2:101" s="60" customFormat="1" ht="13.5" customHeight="1" x14ac:dyDescent="0.25">
      <c r="B80" s="166">
        <v>76</v>
      </c>
      <c r="C80" s="182"/>
      <c r="D80" s="183">
        <f>Calculator!EB83</f>
        <v>46202.541666666664</v>
      </c>
      <c r="E80" s="184"/>
      <c r="F80" s="184"/>
      <c r="G80" s="184"/>
      <c r="H80" s="185" t="str">
        <f>IF(SUM(V17:V20)=12,T17,INDEX(Language!$A$1:$J$177,MATCH("Group C Winner",Language!$B$1:$B$177,0),MATCH(Setup!$C$5,Language!$A$1:$J$1,0)))</f>
        <v>Group C Winner</v>
      </c>
      <c r="I80" s="185"/>
      <c r="J80" s="186"/>
      <c r="K80" s="186"/>
      <c r="L80" s="185"/>
      <c r="M80" s="187" t="str">
        <f>IF(SUM(V35:V38)=12,T36,INDEX(Language!$A$1:$J$177,MATCH("Group F Runner Up",Language!$B$1:$B$177,0),MATCH(Setup!$C$5,Language!$A$1:$J$1,0)))</f>
        <v>Group F Runner Up</v>
      </c>
      <c r="N80" s="187"/>
      <c r="O80" s="226"/>
      <c r="P80" s="226"/>
      <c r="Q80" s="188" t="s">
        <v>528</v>
      </c>
      <c r="S80" s="161">
        <v>3</v>
      </c>
      <c r="T80" s="162" t="str">
        <f>Calculator!U660</f>
        <v>Egypt</v>
      </c>
      <c r="U80" s="162" t="str">
        <f>Calculator!T660</f>
        <v>G</v>
      </c>
      <c r="V80" s="74">
        <f t="shared" si="13"/>
        <v>0</v>
      </c>
      <c r="W80" s="74">
        <f t="shared" si="14"/>
        <v>0</v>
      </c>
      <c r="X80" s="74">
        <f t="shared" si="14"/>
        <v>0</v>
      </c>
      <c r="Y80" s="74">
        <f t="shared" si="14"/>
        <v>0</v>
      </c>
      <c r="Z80" s="74">
        <f t="shared" si="14"/>
        <v>0</v>
      </c>
      <c r="AA80" s="74">
        <f t="shared" si="14"/>
        <v>0</v>
      </c>
      <c r="AB80" s="144">
        <f t="shared" si="14"/>
        <v>0</v>
      </c>
      <c r="AD80" s="64"/>
      <c r="AF80" s="98"/>
      <c r="AG80" s="98"/>
      <c r="AH80" s="98"/>
      <c r="AI80" s="98"/>
      <c r="AJ80" s="98"/>
      <c r="AK80" s="98"/>
      <c r="AL80" s="98"/>
      <c r="CR80" s="101"/>
      <c r="CS80" s="101"/>
      <c r="CT80" s="63"/>
      <c r="CU80" s="101"/>
    </row>
    <row r="81" spans="2:99" s="60" customFormat="1" ht="13.5" customHeight="1" x14ac:dyDescent="0.25">
      <c r="B81" s="166">
        <v>77</v>
      </c>
      <c r="C81" s="182"/>
      <c r="D81" s="183">
        <f>Calculator!EB84</f>
        <v>46203.708333333336</v>
      </c>
      <c r="E81" s="184"/>
      <c r="F81" s="184"/>
      <c r="G81" s="184"/>
      <c r="H81" s="185" t="str">
        <f>IF(SUM(V53:V56)=12,T53,INDEX(Language!$A$1:$J$177,MATCH("Group I Winner",Language!$B$1:$B$177,0),MATCH(Setup!$C$5,Language!$A$1:$J$1,0)))</f>
        <v>Group I Winner</v>
      </c>
      <c r="I81" s="185"/>
      <c r="J81" s="186"/>
      <c r="K81" s="186"/>
      <c r="L81" s="185"/>
      <c r="M81" s="187" t="str">
        <f>IF(SUM(V$78:V$89)=36,Calculator!E681,INDEX(Language!$A$1:$J$177,MATCH("3rd Group C/D/F/G/H",Language!$B$1:$B$177,0),MATCH(Setup!$C$5,Language!$A$1:$J$1,0)))</f>
        <v>3rd Group C/D/F/G/H</v>
      </c>
      <c r="N81" s="187"/>
      <c r="O81" s="226"/>
      <c r="P81" s="226"/>
      <c r="Q81" s="188" t="s">
        <v>525</v>
      </c>
      <c r="S81" s="161">
        <v>4</v>
      </c>
      <c r="T81" s="162" t="str">
        <f>Calculator!U661</f>
        <v>Norway</v>
      </c>
      <c r="U81" s="162" t="str">
        <f>Calculator!T661</f>
        <v>I</v>
      </c>
      <c r="V81" s="74">
        <f t="shared" si="13"/>
        <v>0</v>
      </c>
      <c r="W81" s="74">
        <f t="shared" si="14"/>
        <v>0</v>
      </c>
      <c r="X81" s="74">
        <f t="shared" si="14"/>
        <v>0</v>
      </c>
      <c r="Y81" s="74">
        <f t="shared" si="14"/>
        <v>0</v>
      </c>
      <c r="Z81" s="74">
        <f t="shared" si="14"/>
        <v>0</v>
      </c>
      <c r="AA81" s="74">
        <f t="shared" si="14"/>
        <v>0</v>
      </c>
      <c r="AB81" s="144">
        <f t="shared" si="14"/>
        <v>0</v>
      </c>
      <c r="AD81" s="64"/>
      <c r="AF81" s="98"/>
      <c r="AG81" s="98"/>
      <c r="AH81" s="98"/>
      <c r="AI81" s="98"/>
      <c r="AJ81" s="98"/>
      <c r="AK81" s="98"/>
      <c r="AL81" s="98"/>
      <c r="CR81" s="101"/>
      <c r="CS81" s="101"/>
      <c r="CT81" s="63"/>
      <c r="CU81" s="101"/>
    </row>
    <row r="82" spans="2:99" s="60" customFormat="1" ht="13.5" customHeight="1" x14ac:dyDescent="0.25">
      <c r="B82" s="166">
        <v>78</v>
      </c>
      <c r="C82" s="182"/>
      <c r="D82" s="183">
        <f>Calculator!EB85</f>
        <v>46203.541666666664</v>
      </c>
      <c r="E82" s="184"/>
      <c r="F82" s="184"/>
      <c r="G82" s="184"/>
      <c r="H82" s="185" t="str">
        <f>IF(SUM(V29:V32)=12,T30,INDEX(Language!$A$1:$J$177,MATCH("Group E Runner Up",Language!$B$1:$B$177,0),MATCH(Setup!$C$5,Language!$A$1:$J$1,0)))</f>
        <v>Group E Runner Up</v>
      </c>
      <c r="I82" s="185"/>
      <c r="J82" s="186"/>
      <c r="K82" s="186"/>
      <c r="L82" s="185"/>
      <c r="M82" s="187" t="str">
        <f>IF(SUM(V53:V56)=12,T54,INDEX(Language!$A$1:$J$177,MATCH("Group I Runner Up",Language!$B$1:$B$177,0),MATCH(Setup!$C$5,Language!$A$1:$J$1,0)))</f>
        <v>Group I Runner Up</v>
      </c>
      <c r="N82" s="187"/>
      <c r="O82" s="226"/>
      <c r="P82" s="226"/>
      <c r="Q82" s="188" t="s">
        <v>529</v>
      </c>
      <c r="S82" s="161">
        <v>5</v>
      </c>
      <c r="T82" s="162" t="str">
        <f>Calculator!U662</f>
        <v>Panama</v>
      </c>
      <c r="U82" s="162" t="str">
        <f>Calculator!T662</f>
        <v>L</v>
      </c>
      <c r="V82" s="74">
        <f t="shared" si="13"/>
        <v>0</v>
      </c>
      <c r="W82" s="74">
        <f t="shared" si="14"/>
        <v>0</v>
      </c>
      <c r="X82" s="74">
        <f t="shared" si="14"/>
        <v>0</v>
      </c>
      <c r="Y82" s="74">
        <f t="shared" si="14"/>
        <v>0</v>
      </c>
      <c r="Z82" s="74">
        <f t="shared" si="14"/>
        <v>0</v>
      </c>
      <c r="AA82" s="74">
        <f t="shared" si="14"/>
        <v>0</v>
      </c>
      <c r="AB82" s="144">
        <f t="shared" si="14"/>
        <v>0</v>
      </c>
      <c r="AD82" s="64"/>
      <c r="AF82" s="98"/>
      <c r="AG82" s="98"/>
      <c r="AH82" s="98"/>
      <c r="AI82" s="98"/>
      <c r="AJ82" s="98"/>
      <c r="AK82" s="98"/>
      <c r="AL82" s="98"/>
      <c r="CR82" s="101"/>
      <c r="CS82" s="101"/>
      <c r="CT82" s="63"/>
      <c r="CU82" s="101"/>
    </row>
    <row r="83" spans="2:99" s="60" customFormat="1" ht="13.5" customHeight="1" x14ac:dyDescent="0.25">
      <c r="B83" s="166">
        <v>79</v>
      </c>
      <c r="C83" s="182"/>
      <c r="D83" s="183">
        <f>Calculator!EB86</f>
        <v>46203.875</v>
      </c>
      <c r="E83" s="184"/>
      <c r="F83" s="184"/>
      <c r="G83" s="184"/>
      <c r="H83" s="185" t="str">
        <f>IF(SUM(V5:V8)=12,T5,INDEX(Language!$A$1:$J$177,MATCH("Group A Winner",Language!$B$1:$B$177,0),MATCH(Setup!$C$5,Language!$A$1:$J$1,0)))</f>
        <v>Group A Winner</v>
      </c>
      <c r="I83" s="185"/>
      <c r="J83" s="186"/>
      <c r="K83" s="186"/>
      <c r="L83" s="185"/>
      <c r="M83" s="187" t="str">
        <f>IF(SUM(V$78:V$89)=36,Calculator!E673,INDEX(Language!$A$1:$J$177,MATCH("3rd Group C/E/F/H/I",Language!$B$1:$B$177,0),MATCH(Setup!$C$5,Language!$A$1:$J$1,0)))</f>
        <v>3rd Group C/E/F/H/I</v>
      </c>
      <c r="N83" s="187"/>
      <c r="O83" s="226"/>
      <c r="P83" s="226"/>
      <c r="Q83" s="188" t="s">
        <v>519</v>
      </c>
      <c r="S83" s="161">
        <v>6</v>
      </c>
      <c r="T83" s="162" t="str">
        <f>Calculator!U663</f>
        <v>Cote D'Voire</v>
      </c>
      <c r="U83" s="162" t="str">
        <f>Calculator!T663</f>
        <v>E</v>
      </c>
      <c r="V83" s="74">
        <f t="shared" si="13"/>
        <v>0</v>
      </c>
      <c r="W83" s="74">
        <f t="shared" si="14"/>
        <v>0</v>
      </c>
      <c r="X83" s="74">
        <f t="shared" si="14"/>
        <v>0</v>
      </c>
      <c r="Y83" s="74">
        <f t="shared" si="14"/>
        <v>0</v>
      </c>
      <c r="Z83" s="74">
        <f t="shared" si="14"/>
        <v>0</v>
      </c>
      <c r="AA83" s="74">
        <f t="shared" si="14"/>
        <v>0</v>
      </c>
      <c r="AB83" s="144">
        <f t="shared" si="14"/>
        <v>0</v>
      </c>
      <c r="AD83" s="64"/>
      <c r="AF83" s="98"/>
      <c r="AG83" s="98"/>
      <c r="AH83" s="98"/>
      <c r="AI83" s="98"/>
      <c r="AJ83" s="98"/>
      <c r="AK83" s="98"/>
      <c r="AL83" s="98"/>
      <c r="CR83" s="101"/>
      <c r="CS83" s="101"/>
      <c r="CT83" s="63"/>
      <c r="CU83" s="101"/>
    </row>
    <row r="84" spans="2:99" s="60" customFormat="1" ht="13.5" customHeight="1" x14ac:dyDescent="0.25">
      <c r="B84" s="166">
        <v>80</v>
      </c>
      <c r="C84" s="182"/>
      <c r="D84" s="183">
        <f>Calculator!EB87</f>
        <v>46204.5</v>
      </c>
      <c r="E84" s="184"/>
      <c r="F84" s="184"/>
      <c r="G84" s="184"/>
      <c r="H84" s="185" t="str">
        <f>IF(SUM(V71:V74)=12,T71,INDEX(Language!$A$1:$J$177,MATCH("Group L Winner",Language!$B$1:$B$177,0),MATCH(Setup!$C$5,Language!$A$1:$J$1,0)))</f>
        <v>Group L Winner</v>
      </c>
      <c r="I84" s="185"/>
      <c r="J84" s="186"/>
      <c r="K84" s="186"/>
      <c r="L84" s="185"/>
      <c r="M84" s="187" t="str">
        <f>IF(SUM(V$78:V$89)=36,Calculator!E684,INDEX(Language!$A$1:$J$177,MATCH("3rd Group E/H/I/J/K",Language!$B$1:$B$177,0),MATCH(Setup!$C$5,Language!$A$1:$J$1,0)))</f>
        <v>3rd Group E/H/I/J/K</v>
      </c>
      <c r="N84" s="187"/>
      <c r="O84" s="226"/>
      <c r="P84" s="226"/>
      <c r="Q84" s="188" t="s">
        <v>532</v>
      </c>
      <c r="S84" s="161">
        <v>7</v>
      </c>
      <c r="T84" s="162" t="str">
        <f>Calculator!U664</f>
        <v>Scotland</v>
      </c>
      <c r="U84" s="162" t="str">
        <f>Calculator!T664</f>
        <v>C</v>
      </c>
      <c r="V84" s="74">
        <f t="shared" si="13"/>
        <v>0</v>
      </c>
      <c r="W84" s="74">
        <f t="shared" si="14"/>
        <v>0</v>
      </c>
      <c r="X84" s="74">
        <f t="shared" si="14"/>
        <v>0</v>
      </c>
      <c r="Y84" s="74">
        <f t="shared" si="14"/>
        <v>0</v>
      </c>
      <c r="Z84" s="74">
        <f t="shared" si="14"/>
        <v>0</v>
      </c>
      <c r="AA84" s="74">
        <f t="shared" si="14"/>
        <v>0</v>
      </c>
      <c r="AB84" s="144">
        <f t="shared" si="14"/>
        <v>0</v>
      </c>
      <c r="AD84" s="64"/>
      <c r="AF84" s="98"/>
      <c r="AG84" s="98"/>
      <c r="AH84" s="98"/>
      <c r="AI84" s="98"/>
      <c r="AJ84" s="98"/>
      <c r="AK84" s="98"/>
      <c r="AL84" s="98"/>
      <c r="CR84" s="101"/>
      <c r="CS84" s="101"/>
      <c r="CT84" s="63"/>
      <c r="CU84" s="101"/>
    </row>
    <row r="85" spans="2:99" s="60" customFormat="1" ht="13.5" customHeight="1" x14ac:dyDescent="0.25">
      <c r="B85" s="166">
        <v>81</v>
      </c>
      <c r="C85" s="182"/>
      <c r="D85" s="183">
        <f>Calculator!EB88</f>
        <v>46204.833333333336</v>
      </c>
      <c r="E85" s="184"/>
      <c r="F85" s="184"/>
      <c r="G85" s="184"/>
      <c r="H85" s="185" t="str">
        <f>IF(SUM(V23:V26)=12,T23,INDEX(Language!$A$1:$J$177,MATCH("Group D Winner",Language!$B$1:$B$177,0),MATCH(Setup!$C$5,Language!$A$1:$J$1,0)))</f>
        <v>Group D Winner</v>
      </c>
      <c r="I85" s="185"/>
      <c r="J85" s="186"/>
      <c r="K85" s="186"/>
      <c r="L85" s="185"/>
      <c r="M85" s="187" t="str">
        <f>IF(SUM(V$78:V$89)=36,Calculator!E676,INDEX(Language!$A$1:$J$177,MATCH("3rd Group B/E/F/I/J",Language!$B$1:$B$177,0),MATCH(Setup!$C$5,Language!$A$1:$J$1,0)))</f>
        <v>3rd Group B/E/F/I/J</v>
      </c>
      <c r="N85" s="187"/>
      <c r="O85" s="226"/>
      <c r="P85" s="226"/>
      <c r="Q85" s="188" t="s">
        <v>526</v>
      </c>
      <c r="S85" s="161">
        <v>8</v>
      </c>
      <c r="T85" s="162" t="str">
        <f>Calculator!U665</f>
        <v>Sweden</v>
      </c>
      <c r="U85" s="162" t="str">
        <f>Calculator!T665</f>
        <v>F</v>
      </c>
      <c r="V85" s="74">
        <f t="shared" si="13"/>
        <v>0</v>
      </c>
      <c r="W85" s="74">
        <f t="shared" si="14"/>
        <v>0</v>
      </c>
      <c r="X85" s="74">
        <f t="shared" si="14"/>
        <v>0</v>
      </c>
      <c r="Y85" s="74">
        <f t="shared" si="14"/>
        <v>0</v>
      </c>
      <c r="Z85" s="74">
        <f t="shared" si="14"/>
        <v>0</v>
      </c>
      <c r="AA85" s="74">
        <f t="shared" si="14"/>
        <v>0</v>
      </c>
      <c r="AB85" s="144">
        <f t="shared" si="14"/>
        <v>0</v>
      </c>
      <c r="AD85" s="64"/>
      <c r="AF85" s="98"/>
      <c r="AG85" s="98"/>
      <c r="AH85" s="98"/>
      <c r="AI85" s="98"/>
      <c r="AJ85" s="98"/>
      <c r="AK85" s="98"/>
      <c r="AL85" s="98"/>
      <c r="CR85" s="101"/>
      <c r="CS85" s="101"/>
      <c r="CT85" s="63"/>
      <c r="CU85" s="101"/>
    </row>
    <row r="86" spans="2:99" s="60" customFormat="1" ht="13.5" customHeight="1" x14ac:dyDescent="0.25">
      <c r="B86" s="166">
        <v>82</v>
      </c>
      <c r="C86" s="182"/>
      <c r="D86" s="183">
        <f>Calculator!EB89</f>
        <v>46204.666666666664</v>
      </c>
      <c r="E86" s="184"/>
      <c r="F86" s="184"/>
      <c r="G86" s="184"/>
      <c r="H86" s="185" t="str">
        <f>IF(SUM(V41:V44)=12,T41,INDEX(Language!$A$1:$J$177,MATCH("Group G Winner",Language!$B$1:$B$177,0),MATCH(Setup!$C$5,Language!$A$1:$J$1,0)))</f>
        <v>Group G Winner</v>
      </c>
      <c r="I86" s="185"/>
      <c r="J86" s="186"/>
      <c r="K86" s="186"/>
      <c r="L86" s="185"/>
      <c r="M86" s="187" t="str">
        <f>IF(SUM(V$78:V$89)=36,Calculator!E679,INDEX(Language!$A$1:$J$177,MATCH("3rd Group A/E/H/I/J",Language!$B$1:$B$177,0),MATCH(Setup!$C$5,Language!$A$1:$J$1,0)))</f>
        <v>3rd Group A/E/H/I/J</v>
      </c>
      <c r="N86" s="187"/>
      <c r="O86" s="226"/>
      <c r="P86" s="226"/>
      <c r="Q86" s="188" t="s">
        <v>533</v>
      </c>
      <c r="S86" s="149">
        <v>9</v>
      </c>
      <c r="T86" s="6" t="str">
        <f>Calculator!U666</f>
        <v>Czechia</v>
      </c>
      <c r="U86" s="6" t="str">
        <f>Calculator!T666</f>
        <v>A</v>
      </c>
      <c r="V86" s="83">
        <f t="shared" si="13"/>
        <v>0</v>
      </c>
      <c r="W86" s="83">
        <f t="shared" si="14"/>
        <v>0</v>
      </c>
      <c r="X86" s="83">
        <f t="shared" si="14"/>
        <v>0</v>
      </c>
      <c r="Y86" s="83">
        <f t="shared" si="14"/>
        <v>0</v>
      </c>
      <c r="Z86" s="83">
        <f t="shared" si="14"/>
        <v>0</v>
      </c>
      <c r="AA86" s="83">
        <f t="shared" si="14"/>
        <v>0</v>
      </c>
      <c r="AB86" s="159">
        <f t="shared" si="14"/>
        <v>0</v>
      </c>
      <c r="AD86" s="64"/>
      <c r="AF86" s="98"/>
      <c r="AG86" s="98"/>
      <c r="AH86" s="98"/>
      <c r="AI86" s="98"/>
      <c r="AJ86" s="98"/>
      <c r="AK86" s="98"/>
      <c r="AL86" s="98"/>
      <c r="CR86" s="101"/>
      <c r="CS86" s="101"/>
      <c r="CT86" s="63"/>
      <c r="CU86" s="101"/>
    </row>
    <row r="87" spans="2:99" s="60" customFormat="1" ht="13.5" customHeight="1" x14ac:dyDescent="0.25">
      <c r="B87" s="166">
        <v>83</v>
      </c>
      <c r="C87" s="182"/>
      <c r="D87" s="183">
        <f>Calculator!EB90</f>
        <v>46205.791666666664</v>
      </c>
      <c r="E87" s="184"/>
      <c r="F87" s="184"/>
      <c r="G87" s="184"/>
      <c r="H87" s="185" t="str">
        <f>IF(SUM(V65:V68)=12,T66,INDEX(Language!$A$1:$J$177,MATCH("Group K Runner Up",Language!$B$1:$B$177,0),MATCH(Setup!$C$5,Language!$A$1:$J$1,0)))</f>
        <v>Group K Runner Up</v>
      </c>
      <c r="I87" s="185"/>
      <c r="J87" s="186"/>
      <c r="K87" s="186"/>
      <c r="L87" s="185"/>
      <c r="M87" s="187" t="str">
        <f>IF(SUM(V71:V74)=12,T72,INDEX(Language!$A$1:$J$177,MATCH("Group L Runner Up",Language!$B$1:$B$177,0),MATCH(Setup!$C$5,Language!$A$1:$J$1,0)))</f>
        <v>Group L Runner Up</v>
      </c>
      <c r="N87" s="187"/>
      <c r="O87" s="226"/>
      <c r="P87" s="226"/>
      <c r="Q87" s="188" t="s">
        <v>521</v>
      </c>
      <c r="S87" s="149">
        <v>10</v>
      </c>
      <c r="T87" s="6" t="str">
        <f>Calculator!U667</f>
        <v>DR Congo</v>
      </c>
      <c r="U87" s="6" t="str">
        <f>Calculator!T667</f>
        <v>K</v>
      </c>
      <c r="V87" s="83">
        <f t="shared" si="13"/>
        <v>0</v>
      </c>
      <c r="W87" s="83">
        <f t="shared" si="14"/>
        <v>0</v>
      </c>
      <c r="X87" s="83">
        <f t="shared" si="14"/>
        <v>0</v>
      </c>
      <c r="Y87" s="83">
        <f t="shared" si="14"/>
        <v>0</v>
      </c>
      <c r="Z87" s="83">
        <f t="shared" si="14"/>
        <v>0</v>
      </c>
      <c r="AA87" s="83">
        <f t="shared" si="14"/>
        <v>0</v>
      </c>
      <c r="AB87" s="159">
        <f t="shared" si="14"/>
        <v>0</v>
      </c>
      <c r="AD87" s="64"/>
      <c r="AF87" s="98"/>
      <c r="AG87" s="98"/>
      <c r="AH87" s="98"/>
      <c r="AI87" s="98"/>
      <c r="AJ87" s="98"/>
      <c r="AK87" s="98"/>
      <c r="AL87" s="98"/>
      <c r="CR87" s="101"/>
      <c r="CS87" s="101"/>
      <c r="CT87" s="63"/>
      <c r="CU87" s="101"/>
    </row>
    <row r="88" spans="2:99" s="60" customFormat="1" ht="13.5" customHeight="1" x14ac:dyDescent="0.25">
      <c r="B88" s="166">
        <v>84</v>
      </c>
      <c r="C88" s="182"/>
      <c r="D88" s="183">
        <f>Calculator!EB91</f>
        <v>46205.625</v>
      </c>
      <c r="E88" s="184"/>
      <c r="F88" s="184"/>
      <c r="G88" s="184"/>
      <c r="H88" s="185" t="str">
        <f>IF(SUM(V47:V50)=12,T47,INDEX(Language!$A$1:$J$177,MATCH("Group H Winner",Language!$B$1:$B$177,0),MATCH(Setup!$C$5,Language!$A$1:$J$1,0)))</f>
        <v>Group H Winner</v>
      </c>
      <c r="I88" s="185"/>
      <c r="J88" s="186"/>
      <c r="K88" s="186"/>
      <c r="L88" s="185"/>
      <c r="M88" s="187" t="str">
        <f>IF(SUM(V59:V62)=12,T60,INDEX(Language!$A$1:$J$177,MATCH("Group J Runner Up",Language!$B$1:$B$177,0),MATCH(Setup!$C$5,Language!$A$1:$J$1,0)))</f>
        <v>Group J Runner Up</v>
      </c>
      <c r="N88" s="187"/>
      <c r="O88" s="226"/>
      <c r="P88" s="226"/>
      <c r="Q88" s="188" t="s">
        <v>522</v>
      </c>
      <c r="S88" s="149">
        <v>11</v>
      </c>
      <c r="T88" s="6" t="str">
        <f>Calculator!U668</f>
        <v>Qatar</v>
      </c>
      <c r="U88" s="6" t="str">
        <f>Calculator!T668</f>
        <v>B</v>
      </c>
      <c r="V88" s="83">
        <f t="shared" si="13"/>
        <v>0</v>
      </c>
      <c r="W88" s="83">
        <f t="shared" si="14"/>
        <v>0</v>
      </c>
      <c r="X88" s="83">
        <f t="shared" si="14"/>
        <v>0</v>
      </c>
      <c r="Y88" s="83">
        <f t="shared" si="14"/>
        <v>0</v>
      </c>
      <c r="Z88" s="83">
        <f t="shared" si="14"/>
        <v>0</v>
      </c>
      <c r="AA88" s="83">
        <f t="shared" si="14"/>
        <v>0</v>
      </c>
      <c r="AB88" s="159">
        <f t="shared" si="14"/>
        <v>0</v>
      </c>
      <c r="AD88" s="64"/>
      <c r="AF88" s="98"/>
      <c r="AG88" s="98"/>
      <c r="AH88" s="98"/>
      <c r="AI88" s="98"/>
      <c r="AJ88" s="98"/>
      <c r="AK88" s="98"/>
      <c r="AL88" s="98"/>
      <c r="CR88" s="101"/>
      <c r="CS88" s="101"/>
      <c r="CT88" s="63"/>
      <c r="CU88" s="101"/>
    </row>
    <row r="89" spans="2:99" s="60" customFormat="1" ht="13.5" customHeight="1" x14ac:dyDescent="0.25">
      <c r="B89" s="166">
        <v>85</v>
      </c>
      <c r="C89" s="182"/>
      <c r="D89" s="183">
        <f>Calculator!EB92</f>
        <v>46205.958333333336</v>
      </c>
      <c r="E89" s="184"/>
      <c r="F89" s="184"/>
      <c r="G89" s="184"/>
      <c r="H89" s="185" t="str">
        <f>IF(SUM(V11:V14)=12,T11,INDEX(Language!$A$1:$J$177,MATCH("Group B Winner",Language!$B$1:$B$177,0),MATCH(Setup!$C$5,Language!$A$1:$J$1,0)))</f>
        <v>Group B Winner</v>
      </c>
      <c r="I89" s="185"/>
      <c r="J89" s="186"/>
      <c r="K89" s="186"/>
      <c r="L89" s="185"/>
      <c r="M89" s="187" t="str">
        <f>IF(SUM(V$78:V$89)=36,Calculator!E674,INDEX(Language!$A$1:$J$177,MATCH("3rd Group E/F/G/I/J",Language!$B$1:$B$177,0),MATCH(Setup!$C$5,Language!$A$1:$J$1,0)))</f>
        <v>3rd Group E/F/G/I/J</v>
      </c>
      <c r="N89" s="187"/>
      <c r="O89" s="226"/>
      <c r="P89" s="226"/>
      <c r="Q89" s="188" t="s">
        <v>524</v>
      </c>
      <c r="S89" s="149">
        <v>12</v>
      </c>
      <c r="T89" s="6" t="str">
        <f>Calculator!U669</f>
        <v>Saudi Arabia</v>
      </c>
      <c r="U89" s="6" t="str">
        <f>Calculator!T669</f>
        <v>H</v>
      </c>
      <c r="V89" s="83">
        <f t="shared" si="13"/>
        <v>0</v>
      </c>
      <c r="W89" s="83">
        <f t="shared" si="14"/>
        <v>0</v>
      </c>
      <c r="X89" s="83">
        <f t="shared" si="14"/>
        <v>0</v>
      </c>
      <c r="Y89" s="83">
        <f t="shared" si="14"/>
        <v>0</v>
      </c>
      <c r="Z89" s="83">
        <f t="shared" si="14"/>
        <v>0</v>
      </c>
      <c r="AA89" s="83">
        <f t="shared" si="14"/>
        <v>0</v>
      </c>
      <c r="AB89" s="159">
        <f t="shared" si="14"/>
        <v>0</v>
      </c>
      <c r="AD89" s="64"/>
      <c r="AF89" s="98"/>
      <c r="AG89" s="98"/>
      <c r="AH89" s="98"/>
      <c r="AI89" s="98"/>
      <c r="AJ89" s="98"/>
      <c r="AK89" s="98"/>
      <c r="AL89" s="98"/>
      <c r="CR89" s="101"/>
      <c r="CS89" s="101"/>
      <c r="CT89" s="63"/>
      <c r="CU89" s="101"/>
    </row>
    <row r="90" spans="2:99" s="60" customFormat="1" ht="13.5" customHeight="1" x14ac:dyDescent="0.25">
      <c r="B90" s="166">
        <v>86</v>
      </c>
      <c r="C90" s="182"/>
      <c r="D90" s="183">
        <f>Calculator!EB93</f>
        <v>46206.75</v>
      </c>
      <c r="E90" s="184"/>
      <c r="F90" s="184"/>
      <c r="G90" s="184"/>
      <c r="H90" s="185" t="str">
        <f>IF(SUM(V59:V62)=12,T59,INDEX(Language!$A$1:$J$177,MATCH("Group J Winner",Language!$B$1:$B$177,0),MATCH(Setup!$C$5,Language!$A$1:$J$1,0)))</f>
        <v>Group J Winner</v>
      </c>
      <c r="I90" s="185"/>
      <c r="J90" s="186"/>
      <c r="K90" s="186"/>
      <c r="L90" s="185"/>
      <c r="M90" s="187" t="str">
        <f>IF(SUM(V47:V50)=12,T48,INDEX(Language!$A$1:$J$177,MATCH("Group H Runner Up",Language!$B$1:$B$177,0),MATCH(Setup!$C$5,Language!$A$1:$J$1,0)))</f>
        <v>Group H Runner Up</v>
      </c>
      <c r="N90" s="187"/>
      <c r="O90" s="226"/>
      <c r="P90" s="226"/>
      <c r="Q90" s="188" t="s">
        <v>531</v>
      </c>
      <c r="S90" s="160"/>
      <c r="T90" s="1"/>
      <c r="U90" s="1"/>
      <c r="V90" s="1"/>
      <c r="W90" s="1"/>
      <c r="X90" s="1"/>
      <c r="Y90" s="1"/>
      <c r="Z90" s="1"/>
      <c r="AA90" s="1"/>
      <c r="AB90" s="150"/>
      <c r="AD90" s="64"/>
      <c r="AF90" s="98"/>
      <c r="AG90" s="98"/>
      <c r="AH90" s="98"/>
      <c r="AI90" s="98"/>
      <c r="AJ90" s="98"/>
      <c r="AK90" s="98"/>
      <c r="AL90" s="98"/>
      <c r="CR90" s="101"/>
      <c r="CS90" s="101"/>
      <c r="CT90" s="63"/>
      <c r="CU90" s="101"/>
    </row>
    <row r="91" spans="2:99" s="60" customFormat="1" ht="13.5" customHeight="1" x14ac:dyDescent="0.25">
      <c r="B91" s="166">
        <v>87</v>
      </c>
      <c r="C91" s="182"/>
      <c r="D91" s="183">
        <f>Calculator!EB94</f>
        <v>46206.895833333336</v>
      </c>
      <c r="E91" s="184"/>
      <c r="F91" s="184"/>
      <c r="G91" s="184"/>
      <c r="H91" s="185" t="str">
        <f>IF(SUM(V65:V68)=12,T65,INDEX(Language!$A$1:$J$177,MATCH("Group K Winner",Language!$B$1:$B$177,0),MATCH(Setup!$C$5,Language!$A$1:$J$1,0)))</f>
        <v>Group K Winner</v>
      </c>
      <c r="I91" s="185"/>
      <c r="J91" s="186"/>
      <c r="K91" s="186"/>
      <c r="L91" s="185"/>
      <c r="M91" s="187" t="str">
        <f>IF(SUM(V$78:V$89)=36,Calculator!E683,INDEX(Language!$A$1:$J$177,MATCH("3rd Group D/E/I/J/L",Language!$B$1:$B$177,0),MATCH(Setup!$C$5,Language!$A$1:$J$1,0)))</f>
        <v>3rd Group D/E/I/J/L</v>
      </c>
      <c r="N91" s="187"/>
      <c r="O91" s="226"/>
      <c r="P91" s="226"/>
      <c r="Q91" s="188" t="s">
        <v>534</v>
      </c>
      <c r="S91" s="268" t="str">
        <f>UPPER(INDEX(Translation,MATCH("World Cup 2026 Champion",TransRef,0),MATCH(Setup!$C$5,LanguageRef,0)))</f>
        <v>WORLD CUP 2026 CHAMPION</v>
      </c>
      <c r="T91" s="268"/>
      <c r="U91" s="268"/>
      <c r="V91" s="268"/>
      <c r="W91" s="268"/>
      <c r="X91" s="268"/>
      <c r="Y91" s="268"/>
      <c r="Z91" s="268"/>
      <c r="AA91" s="268"/>
      <c r="AB91" s="268"/>
      <c r="AD91" s="64"/>
      <c r="AF91" s="98"/>
      <c r="AG91" s="98"/>
      <c r="AH91" s="98"/>
      <c r="AI91" s="98"/>
      <c r="AJ91" s="98"/>
      <c r="AK91" s="98"/>
      <c r="AL91" s="98"/>
      <c r="CR91" s="101"/>
      <c r="CS91" s="101"/>
      <c r="CT91" s="63"/>
      <c r="CU91" s="101"/>
    </row>
    <row r="92" spans="2:99" s="60" customFormat="1" ht="13.5" customHeight="1" x14ac:dyDescent="0.25">
      <c r="B92" s="166">
        <v>88</v>
      </c>
      <c r="C92" s="182"/>
      <c r="D92" s="183">
        <f>Calculator!EB95</f>
        <v>46206.583333333336</v>
      </c>
      <c r="E92" s="184"/>
      <c r="F92" s="184"/>
      <c r="G92" s="184"/>
      <c r="H92" s="185" t="str">
        <f>IF(SUM(V23:V26)=12,T24,INDEX(Language!$A$1:$J$177,MATCH("Group D Runner Up",Language!$B$1:$B$177,0),MATCH(Setup!$C$5,Language!$A$1:$J$1,0)))</f>
        <v>Group D Runner Up</v>
      </c>
      <c r="I92" s="185"/>
      <c r="J92" s="186"/>
      <c r="K92" s="186"/>
      <c r="L92" s="185"/>
      <c r="M92" s="187" t="str">
        <f>IF(SUM(V41:V44)=12,T42,INDEX(Language!$A$1:$J$177,MATCH("Group G Runner Up",Language!$B$1:$B$177,0),MATCH(Setup!$C$5,Language!$A$1:$J$1,0)))</f>
        <v>Group G Runner Up</v>
      </c>
      <c r="N92" s="187"/>
      <c r="O92" s="226"/>
      <c r="P92" s="226"/>
      <c r="Q92" s="188" t="s">
        <v>529</v>
      </c>
      <c r="S92" s="268"/>
      <c r="T92" s="268"/>
      <c r="U92" s="268"/>
      <c r="V92" s="268"/>
      <c r="W92" s="268"/>
      <c r="X92" s="268"/>
      <c r="Y92" s="268"/>
      <c r="Z92" s="268"/>
      <c r="AA92" s="268"/>
      <c r="AB92" s="268"/>
      <c r="AD92" s="64"/>
      <c r="AF92" s="98"/>
      <c r="AG92" s="98"/>
      <c r="AH92" s="98"/>
      <c r="AI92" s="98"/>
      <c r="AJ92" s="98"/>
      <c r="AK92" s="98"/>
      <c r="AL92" s="98"/>
      <c r="CR92" s="101"/>
      <c r="CS92" s="101"/>
      <c r="CT92" s="63"/>
      <c r="CU92" s="101"/>
    </row>
    <row r="93" spans="2:99" s="60" customFormat="1" ht="13.5" customHeight="1" x14ac:dyDescent="0.25">
      <c r="B93" s="166">
        <v>89</v>
      </c>
      <c r="C93" s="189" t="s">
        <v>551</v>
      </c>
      <c r="D93" s="190">
        <f>Calculator!EB96</f>
        <v>46207.708333333336</v>
      </c>
      <c r="E93" s="191"/>
      <c r="F93" s="191"/>
      <c r="G93" s="191"/>
      <c r="H93" s="192" t="str">
        <f>IF(AND(J78&lt;&gt;"",K78&lt;&gt;""),IF((J78+O78)&gt;(K78+P78),H78,IF((J78+O78)&lt;(K78+P78),M78,INDEX(Language!$A$1:$J$177,MATCH("Match 74 Winner",Language!$B$1:$B$177,0),MATCH(Setup!$C$5,Language!$A$1:$J$1,0)))),INDEX(Language!$A$1:$J$177,MATCH("Match 74 Winner",Language!$B$1:$B$177,0),MATCH(Setup!$C$5,Language!$A$1:$J$1,0)))</f>
        <v>Match 74 Winner</v>
      </c>
      <c r="I93" s="192"/>
      <c r="J93" s="186"/>
      <c r="K93" s="186"/>
      <c r="L93" s="192"/>
      <c r="M93" s="193" t="str">
        <f>IF(AND(J81&lt;&gt;"",K81&lt;&gt;""),IF((J81+O81)&gt;(K81+P81),H81,IF((J81+O81)&lt;(K81+P81),M81,INDEX(Language!$A$1:$J$177,MATCH("Match 77 Winner",Language!$B$1:$B$177,0),MATCH(Setup!$C$5,Language!$A$1:$J$1,0)))),INDEX(Language!$A$1:$J$177,MATCH("Match 77 Winner",Language!$B$1:$B$177,0),MATCH(Setup!$C$5,Language!$A$1:$J$1,0)))</f>
        <v>Match 77 Winner</v>
      </c>
      <c r="N93" s="193"/>
      <c r="O93" s="227"/>
      <c r="P93" s="227"/>
      <c r="Q93" s="194" t="s">
        <v>527</v>
      </c>
      <c r="S93" s="268"/>
      <c r="T93" s="268"/>
      <c r="U93" s="268"/>
      <c r="V93" s="268"/>
      <c r="W93" s="268"/>
      <c r="X93" s="268"/>
      <c r="Y93" s="268"/>
      <c r="Z93" s="268"/>
      <c r="AA93" s="268"/>
      <c r="AB93" s="268"/>
      <c r="AD93" s="64"/>
      <c r="AF93" s="98"/>
      <c r="AG93" s="98"/>
      <c r="AH93" s="98"/>
      <c r="AI93" s="98"/>
      <c r="AJ93" s="98"/>
      <c r="AK93" s="98"/>
      <c r="AL93" s="98"/>
      <c r="CR93" s="101"/>
      <c r="CS93" s="101"/>
      <c r="CT93" s="63"/>
      <c r="CU93" s="101"/>
    </row>
    <row r="94" spans="2:99" s="60" customFormat="1" ht="13.5" customHeight="1" x14ac:dyDescent="0.25">
      <c r="B94" s="166">
        <v>90</v>
      </c>
      <c r="C94" s="189"/>
      <c r="D94" s="190">
        <f>Calculator!EB97</f>
        <v>46207.541666666664</v>
      </c>
      <c r="E94" s="191"/>
      <c r="F94" s="191"/>
      <c r="G94" s="191"/>
      <c r="H94" s="192" t="str">
        <f>IF(AND(J77&lt;&gt;"",K77&lt;&gt;""),IF((J77+O77)&gt;(K77+P77),H77,IF((J77+O77)&lt;(K77+P77),M77,INDEX(Language!$A$1:$J$177,MATCH("Match 73 Winner",Language!$B$1:$B$177,0),MATCH(Setup!$C$5,Language!$A$1:$J$1,0)))),INDEX(Language!$A$1:$J$177,MATCH("Match 73 Winner",Language!$B$1:$B$177,0),MATCH(Setup!$C$5,Language!$A$1:$J$1,0)))</f>
        <v>Match 73 Winner</v>
      </c>
      <c r="I94" s="192"/>
      <c r="J94" s="186"/>
      <c r="K94" s="186"/>
      <c r="L94" s="192"/>
      <c r="M94" s="193" t="str">
        <f>IF(AND(J79&lt;&gt;"",K79&lt;&gt;""),IF((J79+O79)&gt;(K79+P79),H79,IF((J79+O79)&lt;(K79+P79),M79,INDEX(Language!$A$1:$J$177,MATCH("Match 75 Winner",Language!$B$1:$B$177,0),MATCH(Setup!$C$5,Language!$A$1:$J$1,0)))),INDEX(Language!$A$1:$J$177,MATCH("Match 75 Winner",Language!$B$1:$B$177,0),MATCH(Setup!$C$5,Language!$A$1:$J$1,0)))</f>
        <v>Match 75 Winner</v>
      </c>
      <c r="N94" s="193"/>
      <c r="O94" s="227"/>
      <c r="P94" s="227"/>
      <c r="Q94" s="194" t="s">
        <v>528</v>
      </c>
      <c r="S94" s="268"/>
      <c r="T94" s="268"/>
      <c r="U94" s="268"/>
      <c r="V94" s="268"/>
      <c r="W94" s="268"/>
      <c r="X94" s="268"/>
      <c r="Y94" s="268"/>
      <c r="Z94" s="268"/>
      <c r="AA94" s="268"/>
      <c r="AB94" s="268"/>
      <c r="AD94" s="64"/>
      <c r="AF94" s="98"/>
      <c r="AG94" s="98"/>
      <c r="AH94" s="98"/>
      <c r="AI94" s="98"/>
      <c r="AJ94" s="98"/>
      <c r="AK94" s="98"/>
      <c r="AL94" s="98"/>
      <c r="CR94" s="101"/>
      <c r="CS94" s="101"/>
      <c r="CT94" s="63"/>
      <c r="CU94" s="101"/>
    </row>
    <row r="95" spans="2:99" s="60" customFormat="1" ht="13.5" customHeight="1" x14ac:dyDescent="0.25">
      <c r="B95" s="166">
        <v>91</v>
      </c>
      <c r="C95" s="189"/>
      <c r="D95" s="190">
        <f>Calculator!EB98</f>
        <v>46208.666666666664</v>
      </c>
      <c r="E95" s="191"/>
      <c r="F95" s="191"/>
      <c r="G95" s="191"/>
      <c r="H95" s="192" t="str">
        <f>IF(AND(J80&lt;&gt;"",K80&lt;&gt;""),IF((J80+O80)&gt;(K80+P80),H80,IF((J80+O80)&lt;(K80+P80),M80,INDEX(Language!$A$1:$J$177,MATCH("Match 76 Winner",Language!$B$1:$B$177,0),MATCH(Setup!$C$5,Language!$A$1:$J$1,0)))),INDEX(Language!$A$1:$J$177,MATCH("Match 76 Winner",Language!$B$1:$B$177,0),MATCH(Setup!$C$5,Language!$A$1:$J$1,0)))</f>
        <v>Match 76 Winner</v>
      </c>
      <c r="I95" s="192"/>
      <c r="J95" s="186"/>
      <c r="K95" s="186"/>
      <c r="L95" s="192"/>
      <c r="M95" s="193" t="str">
        <f>IF(AND(J82&lt;&gt;"",K82&lt;&gt;""),IF((J82+O82)&gt;(K82+P82),H82,IF((J82+O82)&lt;(K82+P82),M82,INDEX(Language!$A$1:$J$177,MATCH("Match 78 Winner",Language!$B$1:$B$177,0),MATCH(Setup!$C$5,Language!$A$1:$J$1,0)))),INDEX(Language!$A$1:$J$177,MATCH("Match 78 Winner",Language!$B$1:$B$177,0),MATCH(Setup!$C$5,Language!$A$1:$J$1,0)))</f>
        <v>Match 78 Winner</v>
      </c>
      <c r="N95" s="193"/>
      <c r="O95" s="227"/>
      <c r="P95" s="227"/>
      <c r="Q95" s="194" t="s">
        <v>525</v>
      </c>
      <c r="S95" s="269" t="str">
        <f>IF(AND(J108&lt;&gt;"",K108&lt;&gt;""),IF((J108+O108)&gt;(K108+P108),H108,IF((J108+O108)&lt;(K108+P108),M108,INDEX(Language!$A$1:$J$177,MATCH("Match 104 Winner",Language!$B$1:$B$177,0),MATCH(Setup!$C$5,Language!$A$1:$J$1,0)))),INDEX(Language!$A$1:$J$177,MATCH("Match 104 Winner",Language!$B$1:$B$177,0),MATCH(Setup!$C$5,Language!$A$1:$J$1,0)))</f>
        <v>Match 104 Winner</v>
      </c>
      <c r="T95" s="269"/>
      <c r="U95" s="269"/>
      <c r="V95" s="269"/>
      <c r="W95" s="269"/>
      <c r="X95" s="269"/>
      <c r="Y95" s="269"/>
      <c r="Z95" s="269"/>
      <c r="AA95" s="269"/>
      <c r="AB95" s="269"/>
      <c r="AD95" s="64"/>
      <c r="AF95" s="98"/>
      <c r="AG95" s="98"/>
      <c r="AH95" s="98"/>
      <c r="AI95" s="98"/>
      <c r="AJ95" s="98"/>
      <c r="AK95" s="98"/>
      <c r="AL95" s="98"/>
      <c r="CR95" s="101"/>
      <c r="CS95" s="101"/>
      <c r="CT95" s="63"/>
      <c r="CU95" s="101"/>
    </row>
    <row r="96" spans="2:99" s="60" customFormat="1" ht="13.5" customHeight="1" x14ac:dyDescent="0.25">
      <c r="B96" s="166">
        <v>92</v>
      </c>
      <c r="C96" s="189"/>
      <c r="D96" s="190">
        <f>Calculator!EB99</f>
        <v>46208.833333333336</v>
      </c>
      <c r="E96" s="191"/>
      <c r="F96" s="191"/>
      <c r="G96" s="191"/>
      <c r="H96" s="192" t="str">
        <f>IF(AND(J83&lt;&gt;"",K83&lt;&gt;""),IF((J83+O83)&gt;(K83+P83),H83,IF((J83+O83)&lt;(K83+P83),M83,INDEX(Language!$A$1:$J$177,MATCH("Match 79 Winner",Language!$B$1:$B$177,0),MATCH(Setup!$C$5,Language!$A$1:$J$1,0)))),INDEX(Language!$A$1:$J$177,MATCH("Match 79 Winner",Language!$B$1:$B$177,0),MATCH(Setup!$C$5,Language!$A$1:$J$1,0)))</f>
        <v>Match 79 Winner</v>
      </c>
      <c r="I96" s="192"/>
      <c r="J96" s="186"/>
      <c r="K96" s="186"/>
      <c r="L96" s="192"/>
      <c r="M96" s="193" t="str">
        <f>IF(AND(J84&lt;&gt;"",K84&lt;&gt;""),IF((J84+O84)&gt;(K84+P84),H84,IF((J84+O84)&lt;(K84+P84),M84,INDEX(Language!$A$1:$J$177,MATCH("Match 80 Winner",Language!$B$1:$B$177,0),MATCH(Setup!$C$5,Language!$A$1:$J$1,0)))),INDEX(Language!$A$1:$J$177,MATCH("Match 80 Winner",Language!$B$1:$B$177,0),MATCH(Setup!$C$5,Language!$A$1:$J$1,0)))</f>
        <v>Match 80 Winner</v>
      </c>
      <c r="N96" s="193"/>
      <c r="O96" s="227"/>
      <c r="P96" s="227"/>
      <c r="Q96" s="194" t="s">
        <v>519</v>
      </c>
      <c r="S96" s="269"/>
      <c r="T96" s="269"/>
      <c r="U96" s="269"/>
      <c r="V96" s="269"/>
      <c r="W96" s="269"/>
      <c r="X96" s="269"/>
      <c r="Y96" s="269"/>
      <c r="Z96" s="269"/>
      <c r="AA96" s="269"/>
      <c r="AB96" s="269"/>
      <c r="AD96" s="64"/>
      <c r="AF96" s="98"/>
      <c r="AG96" s="98"/>
      <c r="AH96" s="98"/>
      <c r="AI96" s="98"/>
      <c r="AJ96" s="98"/>
      <c r="AK96" s="98"/>
      <c r="AL96" s="98"/>
      <c r="CR96" s="101"/>
      <c r="CS96" s="101"/>
      <c r="CT96" s="63"/>
      <c r="CU96" s="101"/>
    </row>
    <row r="97" spans="2:99" s="60" customFormat="1" ht="13.5" customHeight="1" x14ac:dyDescent="0.25">
      <c r="B97" s="166">
        <v>93</v>
      </c>
      <c r="C97" s="189"/>
      <c r="D97" s="190">
        <f>Calculator!EB100</f>
        <v>46209.625</v>
      </c>
      <c r="E97" s="191"/>
      <c r="F97" s="191"/>
      <c r="G97" s="191"/>
      <c r="H97" s="192" t="str">
        <f>IF(AND(J87&lt;&gt;"",K87&lt;&gt;""),IF((J87+O87)&gt;(K87+P87),H87,IF((J87+O87)&lt;(K87+P87),M87,INDEX(Language!$A$1:$J$177,MATCH("Match 83 Winner",Language!$B$1:$B$177,0),MATCH(Setup!$C$5,Language!$A$1:$J$1,0)))),INDEX(Language!$A$1:$J$177,MATCH("Match 83 Winner",Language!$B$1:$B$177,0),MATCH(Setup!$C$5,Language!$A$1:$J$1,0)))</f>
        <v>Match 83 Winner</v>
      </c>
      <c r="I97" s="192"/>
      <c r="J97" s="186"/>
      <c r="K97" s="186"/>
      <c r="L97" s="192"/>
      <c r="M97" s="193" t="str">
        <f>IF(AND(J88&lt;&gt;"",K88&lt;&gt;""),IF((J88+O88)&gt;(K88+P88),H88,IF((J88+O88)&lt;(K88+P88),M88,INDEX(Language!$A$1:$J$177,MATCH("Match 84 Winner",Language!$B$1:$B$177,0),MATCH(Setup!$C$5,Language!$A$1:$J$1,0)))),INDEX(Language!$A$1:$J$177,MATCH("Match 84 Winner",Language!$B$1:$B$177,0),MATCH(Setup!$C$5,Language!$A$1:$J$1,0)))</f>
        <v>Match 84 Winner</v>
      </c>
      <c r="N97" s="193"/>
      <c r="O97" s="227"/>
      <c r="P97" s="227"/>
      <c r="Q97" s="194" t="s">
        <v>529</v>
      </c>
      <c r="S97" s="269"/>
      <c r="T97" s="269"/>
      <c r="U97" s="269"/>
      <c r="V97" s="269"/>
      <c r="W97" s="269"/>
      <c r="X97" s="269"/>
      <c r="Y97" s="269"/>
      <c r="Z97" s="269"/>
      <c r="AA97" s="269"/>
      <c r="AB97" s="269"/>
      <c r="AD97" s="64"/>
      <c r="AF97" s="98"/>
      <c r="AG97" s="98"/>
      <c r="AH97" s="98"/>
      <c r="AI97" s="98"/>
      <c r="AJ97" s="98"/>
      <c r="AK97" s="98"/>
      <c r="AL97" s="98"/>
      <c r="CR97" s="101"/>
      <c r="CS97" s="101"/>
      <c r="CT97" s="63"/>
      <c r="CU97" s="101"/>
    </row>
    <row r="98" spans="2:99" s="60" customFormat="1" ht="13.5" customHeight="1" x14ac:dyDescent="0.25">
      <c r="B98" s="166">
        <v>94</v>
      </c>
      <c r="C98" s="189"/>
      <c r="D98" s="190">
        <f>Calculator!EB101</f>
        <v>46209.833333333336</v>
      </c>
      <c r="E98" s="191"/>
      <c r="F98" s="191"/>
      <c r="G98" s="191"/>
      <c r="H98" s="192" t="str">
        <f>IF(AND(J85&lt;&gt;"",K85&lt;&gt;""),IF((J85+O85)&gt;(K85+P85),H85,IF((J85+O85)&lt;(K85+P85),M85,INDEX(Language!$A$1:$J$177,MATCH("Match 81 Winner",Language!$B$1:$B$177,0),MATCH(Setup!$C$5,Language!$A$1:$J$1,0)))),INDEX(Language!$A$1:$J$177,MATCH("Match 81 Winner",Language!$B$1:$B$177,0),MATCH(Setup!$C$5,Language!$A$1:$J$1,0)))</f>
        <v>Match 81 Winner</v>
      </c>
      <c r="I98" s="192"/>
      <c r="J98" s="186"/>
      <c r="K98" s="186"/>
      <c r="L98" s="192"/>
      <c r="M98" s="193" t="str">
        <f>IF(AND(J86&lt;&gt;"",K86&lt;&gt;""),IF((J86+O86)&gt;(K86+P86),H86,IF((J86+O86)&lt;(K86+P86),M86,INDEX(Language!$A$1:$J$177,MATCH("Match 82 Winner",Language!$B$1:$B$177,0),MATCH(Setup!$C$5,Language!$A$1:$J$1,0)))),INDEX(Language!$A$1:$J$177,MATCH("Match 82 Winner",Language!$B$1:$B$177,0),MATCH(Setup!$C$5,Language!$A$1:$J$1,0)))</f>
        <v>Match 82 Winner</v>
      </c>
      <c r="N98" s="193"/>
      <c r="O98" s="227"/>
      <c r="P98" s="227"/>
      <c r="Q98" s="194" t="s">
        <v>533</v>
      </c>
      <c r="S98" s="269"/>
      <c r="T98" s="269"/>
      <c r="U98" s="269"/>
      <c r="V98" s="269"/>
      <c r="W98" s="269"/>
      <c r="X98" s="269"/>
      <c r="Y98" s="269"/>
      <c r="Z98" s="269"/>
      <c r="AA98" s="269"/>
      <c r="AB98" s="269"/>
      <c r="AD98" s="64"/>
      <c r="AF98" s="98"/>
      <c r="AG98" s="98"/>
      <c r="AH98" s="98"/>
      <c r="AI98" s="98"/>
      <c r="AJ98" s="98"/>
      <c r="AK98" s="98"/>
      <c r="AL98" s="98"/>
      <c r="CR98" s="101"/>
      <c r="CS98" s="101"/>
      <c r="CT98" s="63"/>
      <c r="CU98" s="101"/>
    </row>
    <row r="99" spans="2:99" s="60" customFormat="1" ht="13.5" customHeight="1" x14ac:dyDescent="0.25">
      <c r="B99" s="166">
        <v>95</v>
      </c>
      <c r="C99" s="189"/>
      <c r="D99" s="190">
        <f>Calculator!EB102</f>
        <v>46210.5</v>
      </c>
      <c r="E99" s="191"/>
      <c r="F99" s="191"/>
      <c r="G99" s="191"/>
      <c r="H99" s="192" t="str">
        <f>IF(AND(J90&lt;&gt;"",K90&lt;&gt;""),IF((J90+O90)&gt;(K90+P90),H90,IF((J90+O90)&lt;(K90+P90),M90,INDEX(Language!$A$1:$J$177,MATCH("Match 86 Winner",Language!$B$1:$B$177,0),MATCH(Setup!$C$5,Language!$A$1:$J$1,0)))),INDEX(Language!$A$1:$J$177,MATCH("Match 86 Winner",Language!$B$1:$B$177,0),MATCH(Setup!$C$5,Language!$A$1:$J$1,0)))</f>
        <v>Match 86 Winner</v>
      </c>
      <c r="I99" s="192"/>
      <c r="J99" s="186"/>
      <c r="K99" s="186"/>
      <c r="L99" s="192"/>
      <c r="M99" s="193" t="str">
        <f>IF(AND(J92&lt;&gt;"",K92&lt;&gt;""),IF((J92+O92)&gt;(K92+P92),H92,IF((J92+O92)&lt;(K92+P92),M92,INDEX(Language!$A$1:$J$177,MATCH("Match 88 Winner",Language!$B$1:$B$177,0),MATCH(Setup!$C$5,Language!$A$1:$J$1,0)))),INDEX(Language!$A$1:$J$177,MATCH("Match 88 Winner",Language!$B$1:$B$177,0),MATCH(Setup!$C$5,Language!$A$1:$J$1,0)))</f>
        <v>Match 88 Winner</v>
      </c>
      <c r="N99" s="193"/>
      <c r="O99" s="227"/>
      <c r="P99" s="227"/>
      <c r="Q99" s="194" t="s">
        <v>532</v>
      </c>
      <c r="S99" s="269"/>
      <c r="T99" s="269"/>
      <c r="U99" s="269"/>
      <c r="V99" s="269"/>
      <c r="W99" s="269"/>
      <c r="X99" s="269"/>
      <c r="Y99" s="269"/>
      <c r="Z99" s="269"/>
      <c r="AA99" s="269"/>
      <c r="AB99" s="269"/>
      <c r="AD99" s="64"/>
      <c r="AF99" s="98"/>
      <c r="AG99" s="98"/>
      <c r="AH99" s="98"/>
      <c r="AI99" s="98"/>
      <c r="AJ99" s="98"/>
      <c r="AK99" s="98"/>
      <c r="AL99" s="98"/>
      <c r="CR99" s="101"/>
      <c r="CS99" s="101"/>
      <c r="CT99" s="63"/>
      <c r="CU99" s="101"/>
    </row>
    <row r="100" spans="2:99" s="60" customFormat="1" ht="13.5" customHeight="1" x14ac:dyDescent="0.25">
      <c r="B100" s="166">
        <v>96</v>
      </c>
      <c r="C100" s="189"/>
      <c r="D100" s="190">
        <f>Calculator!EB103</f>
        <v>46210.666666666664</v>
      </c>
      <c r="E100" s="191"/>
      <c r="F100" s="191"/>
      <c r="G100" s="191"/>
      <c r="H100" s="192" t="str">
        <f>IF(AND(J89&lt;&gt;"",K89&lt;&gt;""),IF((J89+O89)&gt;(K89+P89),H89,IF((J89+O89)&lt;(K89+P89),M89,INDEX(Language!$A$1:$J$177,MATCH("Match 85 Winner",Language!$B$1:$B$177,0),MATCH(Setup!$C$5,Language!$A$1:$J$1,0)))),INDEX(Language!$A$1:$J$177,MATCH("Match 85 Winner",Language!$B$1:$B$177,0),MATCH(Setup!$C$5,Language!$A$1:$J$1,0)))</f>
        <v>Match 85 Winner</v>
      </c>
      <c r="I100" s="192"/>
      <c r="J100" s="186"/>
      <c r="K100" s="186"/>
      <c r="L100" s="192"/>
      <c r="M100" s="193" t="str">
        <f>IF(AND(J91&lt;&gt;"",K91&lt;&gt;""),IF((J91+O91)&gt;(K91+P91),H91,IF((J91+O91)&lt;(K91+P91),M91,INDEX(Language!$A$1:$J$177,MATCH("Match 87 Winner",Language!$B$1:$B$177,0),MATCH(Setup!$C$5,Language!$A$1:$J$1,0)))),INDEX(Language!$A$1:$J$177,MATCH("Match 87 Winner",Language!$B$1:$B$177,0),MATCH(Setup!$C$5,Language!$A$1:$J$1,0)))</f>
        <v>Match 87 Winner</v>
      </c>
      <c r="N100" s="193"/>
      <c r="O100" s="227"/>
      <c r="P100" s="227"/>
      <c r="Q100" s="194" t="s">
        <v>524</v>
      </c>
      <c r="S100" s="270" t="str">
        <f>INDEX(Translation,MATCH("Second Place",TransRef,0),MATCH(Setup!$C$5,LanguageRef,0))</f>
        <v>Second place</v>
      </c>
      <c r="T100" s="270"/>
      <c r="U100" s="270"/>
      <c r="V100" s="270"/>
      <c r="W100" s="270"/>
      <c r="X100" s="270"/>
      <c r="Y100" s="270"/>
      <c r="Z100" s="270"/>
      <c r="AA100" s="270"/>
      <c r="AB100" s="270"/>
      <c r="AD100" s="64"/>
      <c r="AF100" s="98"/>
      <c r="AG100" s="98"/>
      <c r="AH100" s="98"/>
      <c r="AI100" s="98"/>
      <c r="AJ100" s="98"/>
      <c r="AK100" s="98"/>
      <c r="AL100" s="98"/>
      <c r="CR100" s="101"/>
      <c r="CS100" s="101"/>
      <c r="CT100" s="63"/>
      <c r="CU100" s="101"/>
    </row>
    <row r="101" spans="2:99" s="60" customFormat="1" ht="13.5" customHeight="1" x14ac:dyDescent="0.25">
      <c r="B101" s="166">
        <v>97</v>
      </c>
      <c r="C101" s="182" t="s">
        <v>552</v>
      </c>
      <c r="D101" s="183">
        <f>Calculator!EB104</f>
        <v>46212.666666666664</v>
      </c>
      <c r="E101" s="184"/>
      <c r="F101" s="184"/>
      <c r="G101" s="184"/>
      <c r="H101" s="185" t="str">
        <f>IF(AND(J93&lt;&gt;"",K93&lt;&gt;""),IF((J93+O93)&gt;(K93+P93),H93,IF((J93+O93)&lt;(K93+P93),M93,INDEX(Language!$A$1:$J$177,MATCH("Match 89 Winner",Language!$B$1:$B$177,0),MATCH(Setup!$C$5,Language!$A$1:$J$1,0)))),INDEX(Language!$A$1:$J$177,MATCH("Match 89 Winner",Language!$B$1:$B$177,0),MATCH(Setup!$C$5,Language!$A$1:$J$1,0)))</f>
        <v>Match 89 Winner</v>
      </c>
      <c r="I101" s="185"/>
      <c r="J101" s="186"/>
      <c r="K101" s="186"/>
      <c r="L101" s="185"/>
      <c r="M101" s="187" t="str">
        <f>IF(AND(J94&lt;&gt;"",K94&lt;&gt;""),IF((J94+O94)&gt;(K94+P94),H94,IF((J94+O94)&lt;(K94+P94),M94,INDEX(Language!$A$1:$J$177,MATCH("Match 90 Winner",Language!$B$1:$B$177,0),MATCH(Setup!$C$5,Language!$A$1:$J$1,0)))),INDEX(Language!$A$1:$J$177,MATCH("Match 90 Winner",Language!$B$1:$B$177,0),MATCH(Setup!$C$5,Language!$A$1:$J$1,0)))</f>
        <v>Match 90 Winner</v>
      </c>
      <c r="N101" s="187"/>
      <c r="O101" s="226"/>
      <c r="P101" s="226"/>
      <c r="Q101" s="188" t="s">
        <v>523</v>
      </c>
      <c r="S101" s="270"/>
      <c r="T101" s="270"/>
      <c r="U101" s="270"/>
      <c r="V101" s="270"/>
      <c r="W101" s="270"/>
      <c r="X101" s="270"/>
      <c r="Y101" s="270"/>
      <c r="Z101" s="270"/>
      <c r="AA101" s="270"/>
      <c r="AB101" s="270"/>
      <c r="AD101" s="64"/>
      <c r="AF101" s="98"/>
      <c r="AG101" s="98"/>
      <c r="AH101" s="98"/>
      <c r="AI101" s="98"/>
      <c r="AJ101" s="98"/>
      <c r="AK101" s="98"/>
      <c r="AL101" s="98"/>
      <c r="CR101" s="101"/>
      <c r="CS101" s="101"/>
      <c r="CT101" s="63"/>
      <c r="CU101" s="101"/>
    </row>
    <row r="102" spans="2:99" s="60" customFormat="1" ht="13.5" customHeight="1" x14ac:dyDescent="0.25">
      <c r="B102" s="166">
        <v>98</v>
      </c>
      <c r="C102" s="182"/>
      <c r="D102" s="183">
        <f>Calculator!EB105</f>
        <v>46213.625</v>
      </c>
      <c r="E102" s="184"/>
      <c r="F102" s="184"/>
      <c r="G102" s="184"/>
      <c r="H102" s="185" t="str">
        <f>IF(AND(J97&lt;&gt;"",K97&lt;&gt;""),IF((J97+O97)&gt;(K97+P97),H97,IF((J97+O97)&lt;(K97+P97),M97,INDEX(Language!$A$1:$J$177,MATCH("Match 93 Winner",Language!$B$1:$B$177,0),MATCH(Setup!$C$5,Language!$A$1:$J$1,0)))),INDEX(Language!$A$1:$J$177,MATCH("Match 93 Winner",Language!$B$1:$B$177,0),MATCH(Setup!$C$5,Language!$A$1:$J$1,0)))</f>
        <v>Match 93 Winner</v>
      </c>
      <c r="I102" s="185"/>
      <c r="J102" s="186"/>
      <c r="K102" s="186"/>
      <c r="L102" s="185"/>
      <c r="M102" s="187" t="str">
        <f>IF(AND(J98&lt;&gt;"",K98&lt;&gt;""),IF((J98+O98)&gt;(K98+P98),H98,IF((J98+O98)&lt;(K98+P98),M98,INDEX(Language!$A$1:$J$177,MATCH("Match 94 Winner",Language!$B$1:$B$177,0),MATCH(Setup!$C$5,Language!$A$1:$J$1,0)))),INDEX(Language!$A$1:$J$177,MATCH("Match 94 Winner",Language!$B$1:$B$177,0),MATCH(Setup!$C$5,Language!$A$1:$J$1,0)))</f>
        <v>Match 94 Winner</v>
      </c>
      <c r="N102" s="187"/>
      <c r="O102" s="226"/>
      <c r="P102" s="226"/>
      <c r="Q102" s="188" t="s">
        <v>522</v>
      </c>
      <c r="S102" s="267" t="str">
        <f>IF(AND(J108&lt;&gt;"",K108&lt;&gt;""),IF((J108+O108)&lt;(K108+P108),H108,IF((J108+O108)&gt;(K108+P108),M108,INDEX(Language!$A$1:$J$177,MATCH("Match 104 Loser",Language!$B$1:$B$177,0),MATCH(Setup!$C$5,Language!$A$1:$J$1,0)))),INDEX(Language!$A$1:$J$177,MATCH("Match 104 Loser",Language!$B$1:$B$177,0),MATCH(Setup!$C$5,Language!$A$1:$J$1,0)))</f>
        <v>Match 104 Loser</v>
      </c>
      <c r="T102" s="267"/>
      <c r="U102" s="267"/>
      <c r="V102" s="267"/>
      <c r="W102" s="267"/>
      <c r="X102" s="267"/>
      <c r="Y102" s="267"/>
      <c r="Z102" s="267"/>
      <c r="AA102" s="267"/>
      <c r="AB102" s="267"/>
      <c r="AD102" s="64"/>
      <c r="AF102" s="98"/>
      <c r="AG102" s="98"/>
      <c r="AH102" s="98"/>
      <c r="AI102" s="98"/>
      <c r="AJ102" s="98"/>
      <c r="AK102" s="98"/>
      <c r="AL102" s="98"/>
      <c r="CR102" s="101"/>
      <c r="CS102" s="101"/>
      <c r="CT102" s="63"/>
      <c r="CU102" s="101"/>
    </row>
    <row r="103" spans="2:99" s="60" customFormat="1" ht="13.5" customHeight="1" x14ac:dyDescent="0.25">
      <c r="B103" s="166">
        <v>99</v>
      </c>
      <c r="C103" s="182"/>
      <c r="D103" s="183">
        <f>Calculator!EB106</f>
        <v>46214.708333333336</v>
      </c>
      <c r="E103" s="184"/>
      <c r="F103" s="184"/>
      <c r="G103" s="184"/>
      <c r="H103" s="185" t="str">
        <f>IF(AND(J95&lt;&gt;"",K95&lt;&gt;""),IF((J95+O95)&gt;(K95+P95),H95,IF((J95+O95)&lt;(K95+P95),M95,INDEX(Language!$A$1:$J$177,MATCH("Match 91 Winner",Language!$B$1:$B$177,0),MATCH(Setup!$C$5,Language!$A$1:$J$1,0)))),INDEX(Language!$A$1:$J$177,MATCH("Match 91 Winner",Language!$B$1:$B$177,0),MATCH(Setup!$C$5,Language!$A$1:$J$1,0)))</f>
        <v>Match 91 Winner</v>
      </c>
      <c r="I103" s="185"/>
      <c r="J103" s="186"/>
      <c r="K103" s="186"/>
      <c r="L103" s="185"/>
      <c r="M103" s="187" t="str">
        <f>IF(AND(J96&lt;&gt;"",K96&lt;&gt;""),IF((J96+O96)&gt;(K96+P96),H96,IF((J96+O96)&lt;(K96+P96),M96,INDEX(Language!$A$1:$J$177,MATCH("Match 92 Winner",Language!$B$1:$B$177,0),MATCH(Setup!$C$5,Language!$A$1:$J$1,0)))),INDEX(Language!$A$1:$J$177,MATCH("Match 92 Winner",Language!$B$1:$B$177,0),MATCH(Setup!$C$5,Language!$A$1:$J$1,0)))</f>
        <v>Match 92 Winner</v>
      </c>
      <c r="N103" s="187"/>
      <c r="O103" s="226"/>
      <c r="P103" s="226"/>
      <c r="Q103" s="188" t="s">
        <v>531</v>
      </c>
      <c r="S103" s="267"/>
      <c r="T103" s="267"/>
      <c r="U103" s="267"/>
      <c r="V103" s="267"/>
      <c r="W103" s="267"/>
      <c r="X103" s="267"/>
      <c r="Y103" s="267"/>
      <c r="Z103" s="267"/>
      <c r="AA103" s="267"/>
      <c r="AB103" s="267"/>
      <c r="AD103" s="64"/>
      <c r="AF103" s="98"/>
      <c r="AG103" s="98"/>
      <c r="AH103" s="98"/>
      <c r="AI103" s="98"/>
      <c r="AJ103" s="98"/>
      <c r="AK103" s="98"/>
      <c r="AL103" s="98"/>
      <c r="CR103" s="101"/>
      <c r="CS103" s="101"/>
      <c r="CT103" s="63"/>
      <c r="CU103" s="101"/>
    </row>
    <row r="104" spans="2:99" s="60" customFormat="1" ht="13.5" customHeight="1" x14ac:dyDescent="0.25">
      <c r="B104" s="166">
        <v>100</v>
      </c>
      <c r="C104" s="182"/>
      <c r="D104" s="183">
        <f>Calculator!EB107</f>
        <v>46214.875</v>
      </c>
      <c r="E104" s="184"/>
      <c r="F104" s="184"/>
      <c r="G104" s="184"/>
      <c r="H104" s="185" t="str">
        <f>IF(AND(J99&lt;&gt;"",K99&lt;&gt;""),IF((J99+O99)&gt;(K99+P99),H99,IF((J99+O99)&lt;(K99+P99),M99,INDEX(Language!$A$1:$J$177,MATCH("Match 95 Winner",Language!$B$1:$B$177,0),MATCH(Setup!$C$5,Language!$A$1:$J$1,0)))),INDEX(Language!$A$1:$J$177,MATCH("Match 95 Winner",Language!$B$1:$B$177,0),MATCH(Setup!$C$5,Language!$A$1:$J$1,0)))</f>
        <v>Match 95 Winner</v>
      </c>
      <c r="I104" s="185"/>
      <c r="J104" s="186"/>
      <c r="K104" s="186"/>
      <c r="L104" s="185"/>
      <c r="M104" s="187" t="str">
        <f>IF(AND(J100&lt;&gt;"",K100&lt;&gt;""),IF((J100+O100)&gt;(K100+P100),H100,IF((J100+O100)&lt;(K100+P100),M100,INDEX(Language!$A$1:$J$177,MATCH("Match 96 Winner",Language!$B$1:$B$177,0),MATCH(Setup!$C$5,Language!$A$1:$J$1,0)))),INDEX(Language!$A$1:$J$177,MATCH("Match 96 Winner",Language!$B$1:$B$177,0),MATCH(Setup!$C$5,Language!$A$1:$J$1,0)))</f>
        <v>Match 96 Winner</v>
      </c>
      <c r="N104" s="187"/>
      <c r="O104" s="226"/>
      <c r="P104" s="226"/>
      <c r="Q104" s="188" t="s">
        <v>534</v>
      </c>
      <c r="S104" s="270" t="str">
        <f>INDEX(Translation,MATCH("Third Place",TransRef,0),MATCH(Setup!$C$5,LanguageRef,0))</f>
        <v>Third Place</v>
      </c>
      <c r="T104" s="270"/>
      <c r="U104" s="270"/>
      <c r="V104" s="270"/>
      <c r="W104" s="270"/>
      <c r="X104" s="270"/>
      <c r="Y104" s="270"/>
      <c r="Z104" s="270"/>
      <c r="AA104" s="270"/>
      <c r="AB104" s="270"/>
      <c r="AD104" s="64"/>
      <c r="AF104" s="98"/>
      <c r="AG104" s="98"/>
      <c r="AH104" s="98"/>
      <c r="AI104" s="98"/>
      <c r="AJ104" s="98"/>
      <c r="AK104" s="98"/>
      <c r="AL104" s="98"/>
      <c r="CR104" s="101"/>
      <c r="CS104" s="101"/>
      <c r="CT104" s="63"/>
      <c r="CU104" s="101"/>
    </row>
    <row r="105" spans="2:99" s="60" customFormat="1" ht="13.5" customHeight="1" x14ac:dyDescent="0.25">
      <c r="B105" s="166">
        <v>101</v>
      </c>
      <c r="C105" s="189" t="s">
        <v>553</v>
      </c>
      <c r="D105" s="190">
        <f>Calculator!EB108</f>
        <v>46217.625</v>
      </c>
      <c r="E105" s="191"/>
      <c r="F105" s="191"/>
      <c r="G105" s="191"/>
      <c r="H105" s="192" t="str">
        <f>IF(AND(J101&lt;&gt;"",K101&lt;&gt;""),IF((J101+O101)&gt;(K101+P101),H101,IF((J101+O101)&lt;(K101+P101),M101,INDEX(Language!$A$1:$J$177,MATCH("Match 97 Winner",Language!$B$1:$B$177,0),MATCH(Setup!$C$5,Language!$A$1:$J$1,0)))),INDEX(Language!$A$1:$J$177,MATCH("Match 97 Winner",Language!$B$1:$B$177,0),MATCH(Setup!$C$5,Language!$A$1:$J$1,0)))</f>
        <v>Match 97 Winner</v>
      </c>
      <c r="I105" s="192"/>
      <c r="J105" s="186"/>
      <c r="K105" s="186"/>
      <c r="L105" s="192"/>
      <c r="M105" s="193" t="str">
        <f>IF(AND(J102&lt;&gt;"",K102&lt;&gt;""),IF((J102+O102)&gt;(K102+P102),H102,IF((J102+O102)&lt;(K102+P102),M102,INDEX(Language!$A$1:$J$177,MATCH("Match 98 Winner",Language!$B$1:$B$177,0),MATCH(Setup!$C$5,Language!$A$1:$J$1,0)))),INDEX(Language!$A$1:$J$177,MATCH("Match 98 Winner",Language!$B$1:$B$177,0),MATCH(Setup!$C$5,Language!$A$1:$J$1,0)))</f>
        <v>Match 98 Winner</v>
      </c>
      <c r="N105" s="193"/>
      <c r="O105" s="227"/>
      <c r="P105" s="227"/>
      <c r="Q105" s="194" t="s">
        <v>529</v>
      </c>
      <c r="S105" s="270"/>
      <c r="T105" s="270"/>
      <c r="U105" s="270"/>
      <c r="V105" s="270"/>
      <c r="W105" s="270"/>
      <c r="X105" s="270"/>
      <c r="Y105" s="270"/>
      <c r="Z105" s="270"/>
      <c r="AA105" s="270"/>
      <c r="AB105" s="270"/>
      <c r="AD105" s="64"/>
      <c r="AF105" s="98"/>
      <c r="AG105" s="98"/>
      <c r="AH105" s="98"/>
      <c r="AI105" s="98"/>
      <c r="AJ105" s="98"/>
      <c r="AK105" s="98"/>
      <c r="AL105" s="98"/>
      <c r="CR105" s="101"/>
      <c r="CS105" s="101"/>
      <c r="CT105" s="63"/>
      <c r="CU105" s="101"/>
    </row>
    <row r="106" spans="2:99" s="60" customFormat="1" ht="13.5" customHeight="1" x14ac:dyDescent="0.25">
      <c r="B106" s="166">
        <v>102</v>
      </c>
      <c r="C106" s="189"/>
      <c r="D106" s="190">
        <f>Calculator!EB109</f>
        <v>46218.625</v>
      </c>
      <c r="E106" s="191"/>
      <c r="F106" s="191"/>
      <c r="G106" s="191"/>
      <c r="H106" s="192" t="str">
        <f>IF(AND(J103&lt;&gt;"",K103&lt;&gt;""),IF((J103+O103)&gt;(K103+P103),H103,IF((J103+O103)&lt;(K103+P103),M103,INDEX(Language!$A$1:$J$177,MATCH("Match 99 Winner",Language!$B$1:$B$177,0),MATCH(Setup!$C$5,Language!$A$1:$J$1,0)))),INDEX(Language!$A$1:$J$177,MATCH("Match 99 Winner",Language!$B$1:$B$177,0),MATCH(Setup!$C$5,Language!$A$1:$J$1,0)))</f>
        <v>Match 99 Winner</v>
      </c>
      <c r="I106" s="192"/>
      <c r="J106" s="186"/>
      <c r="K106" s="186"/>
      <c r="L106" s="192"/>
      <c r="M106" s="193" t="str">
        <f>IF(AND(J104&lt;&gt;"",K104&lt;&gt;""),IF((J104+O104)&gt;(K104+P104),H104,IF((J104+O104)&lt;(K104+P104),M104,INDEX(Language!$A$1:$J$177,MATCH("Match 100 Winner",Language!$B$1:$B$177,0),MATCH(Setup!$C$5,Language!$A$1:$J$1,0)))),INDEX(Language!$A$1:$J$177,MATCH("Match 100 Winner",Language!$B$1:$B$177,0),MATCH(Setup!$C$5,Language!$A$1:$J$1,0)))</f>
        <v>Match 100 Winner</v>
      </c>
      <c r="N106" s="193"/>
      <c r="O106" s="227"/>
      <c r="P106" s="227"/>
      <c r="Q106" s="194" t="s">
        <v>532</v>
      </c>
      <c r="S106" s="267" t="str">
        <f>IF(AND(J107&lt;&gt;"",K107&lt;&gt;""),IF((J107+O107)&gt;(K107+P107),H107,IF((J107+O107)&lt;(K107+P107),M107,INDEX(Language!$A$1:$J$177,MATCH("Match 103 Winner",Language!$B$1:$B$177,0),MATCH(Setup!$C$5,Language!$A$1:$J$1,0)))),INDEX(Language!$A$1:$J$177,MATCH("Match 103 Winner",Language!$B$1:$B$177,0),MATCH(Setup!$C$5,Language!$A$1:$J$1,0)))</f>
        <v>Match 103 Winner</v>
      </c>
      <c r="T106" s="267"/>
      <c r="U106" s="267"/>
      <c r="V106" s="267"/>
      <c r="W106" s="267"/>
      <c r="X106" s="267"/>
      <c r="Y106" s="267"/>
      <c r="Z106" s="267"/>
      <c r="AA106" s="267"/>
      <c r="AB106" s="267"/>
      <c r="AD106" s="64"/>
      <c r="AF106" s="98"/>
      <c r="AG106" s="98"/>
      <c r="AH106" s="98"/>
      <c r="AI106" s="98"/>
      <c r="AJ106" s="98"/>
      <c r="AK106" s="98"/>
      <c r="AL106" s="98"/>
      <c r="CR106" s="101"/>
      <c r="CS106" s="101"/>
      <c r="CT106" s="63"/>
      <c r="CU106" s="101"/>
    </row>
    <row r="107" spans="2:99" s="60" customFormat="1" ht="13.5" customHeight="1" x14ac:dyDescent="0.25">
      <c r="B107" s="166">
        <v>103</v>
      </c>
      <c r="C107" s="182" t="s">
        <v>555</v>
      </c>
      <c r="D107" s="183">
        <f>Calculator!EB110</f>
        <v>46221.708333333336</v>
      </c>
      <c r="E107" s="184"/>
      <c r="F107" s="184"/>
      <c r="G107" s="184"/>
      <c r="H107" s="185" t="str">
        <f>IF(AND(J105&lt;&gt;"",K105&lt;&gt;""),IF((J105+O105)&lt;(K105+P105),H105,IF((J105+O105)&gt;(K105+P105),M105,INDEX(Language!$A$1:$J$177,MATCH("Match 101 Loser",Language!$B$1:$B$177,0),MATCH(Setup!$C$5,Language!$A$1:$J$1,0)))),INDEX(Language!$A$1:$J$177,MATCH("Match 101 Loser",Language!$B$1:$B$177,0),MATCH(Setup!$C$5,Language!$A$1:$J$1,0)))</f>
        <v>Match 101 Loser</v>
      </c>
      <c r="I107" s="185"/>
      <c r="J107" s="186"/>
      <c r="K107" s="186"/>
      <c r="L107" s="185"/>
      <c r="M107" s="187" t="str">
        <f>IF(AND(J106&lt;&gt;"",K106&lt;&gt;""),IF((J106+O106)&lt;(K106+P106),H106,IF((J106+O106)&gt;(K106+P106),M106,INDEX(Language!$A$1:$J$177,MATCH("Match 102 Loser",Language!$B$1:$B$177,0),MATCH(Setup!$C$5,Language!$A$1:$J$1,0)))),INDEX(Language!$A$1:$J$177,MATCH("Match 102 Loser",Language!$B$1:$B$177,0),MATCH(Setup!$C$5,Language!$A$1:$J$1,0)))</f>
        <v>Match 102 Loser</v>
      </c>
      <c r="N107" s="187"/>
      <c r="O107" s="226"/>
      <c r="P107" s="226"/>
      <c r="Q107" s="188" t="s">
        <v>531</v>
      </c>
      <c r="S107" s="267"/>
      <c r="T107" s="267"/>
      <c r="U107" s="267"/>
      <c r="V107" s="267"/>
      <c r="W107" s="267"/>
      <c r="X107" s="267"/>
      <c r="Y107" s="267"/>
      <c r="Z107" s="267"/>
      <c r="AA107" s="267"/>
      <c r="AB107" s="267"/>
      <c r="AD107" s="64"/>
      <c r="AF107" s="98"/>
      <c r="AG107" s="98"/>
      <c r="AH107" s="98"/>
      <c r="AI107" s="98"/>
      <c r="AJ107" s="98"/>
      <c r="AK107" s="98"/>
      <c r="AL107" s="98"/>
      <c r="CR107" s="101"/>
      <c r="CS107" s="101"/>
      <c r="CT107" s="63"/>
      <c r="CU107" s="101"/>
    </row>
    <row r="108" spans="2:99" s="60" customFormat="1" ht="13.5" customHeight="1" x14ac:dyDescent="0.25">
      <c r="B108" s="167">
        <v>104</v>
      </c>
      <c r="C108" s="195" t="s">
        <v>75</v>
      </c>
      <c r="D108" s="196">
        <f>Calculator!EB111</f>
        <v>46222.625</v>
      </c>
      <c r="E108" s="197"/>
      <c r="F108" s="197"/>
      <c r="G108" s="197"/>
      <c r="H108" s="198" t="str">
        <f>IF(AND(J105&lt;&gt;"",K105&lt;&gt;""),IF((J105+O105)&gt;(K105+P105),H105,IF((J105+O105)&lt;(K105+P105),M105,INDEX(Language!$A$1:$J$177,MATCH("Match 101 Winner",Language!$B$1:$B$177,0),MATCH(Setup!$C$5,Language!$A$1:$J$1,0)))),INDEX(Language!$A$1:$J$177,MATCH("Match 101 Winner",Language!$B$1:$B$177,0),MATCH(Setup!$C$5,Language!$A$1:$J$1,0)))</f>
        <v>Match 101 Winner</v>
      </c>
      <c r="I108" s="198"/>
      <c r="J108" s="186"/>
      <c r="K108" s="186"/>
      <c r="L108" s="198"/>
      <c r="M108" s="199" t="str">
        <f>IF(AND(J106&lt;&gt;"",K106&lt;&gt;""),IF((J106+O106)&gt;(K106+P106),H106,IF((J106+O106)&lt;(K106+P106),M106,INDEX(Language!$A$1:$J$177,MATCH("Match 102 Winner",Language!$B$1:$B$177,0),MATCH(Setup!$C$5,Language!$A$1:$J$1,0)))),INDEX(Language!$A$1:$J$177,MATCH("Match 102 Winner",Language!$B$1:$B$177,0),MATCH(Setup!$C$5,Language!$A$1:$J$1,0)))</f>
        <v>Match 102 Winner</v>
      </c>
      <c r="N108" s="199"/>
      <c r="O108" s="228"/>
      <c r="P108" s="228"/>
      <c r="Q108" s="200" t="s">
        <v>525</v>
      </c>
      <c r="S108" s="265" t="s">
        <v>475</v>
      </c>
      <c r="T108" s="265"/>
      <c r="U108" s="265"/>
      <c r="V108" s="265"/>
      <c r="W108" s="265"/>
      <c r="X108" s="265"/>
      <c r="Y108" s="265"/>
      <c r="Z108" s="265"/>
      <c r="AA108" s="265"/>
      <c r="AB108" s="265"/>
      <c r="AD108" s="64"/>
      <c r="AF108" s="98"/>
      <c r="AG108" s="98"/>
      <c r="AH108" s="98"/>
      <c r="AI108" s="98"/>
      <c r="AJ108" s="98"/>
      <c r="AK108" s="98"/>
      <c r="AL108" s="98"/>
      <c r="CR108" s="101"/>
      <c r="CS108" s="101"/>
      <c r="CT108" s="63"/>
      <c r="CU108" s="101"/>
    </row>
    <row r="109" spans="2:99" ht="5.0999999999999996" customHeight="1" x14ac:dyDescent="0.25">
      <c r="B109" s="224">
        <v>105</v>
      </c>
      <c r="C109" s="60"/>
      <c r="D109" s="60"/>
      <c r="E109" s="60"/>
      <c r="F109" s="60"/>
      <c r="G109" s="60"/>
      <c r="H109" s="61"/>
      <c r="I109" s="61"/>
      <c r="J109" s="60"/>
      <c r="K109" s="60"/>
      <c r="L109" s="61"/>
      <c r="M109" s="62"/>
      <c r="N109" s="62"/>
      <c r="O109" s="62"/>
      <c r="P109" s="62"/>
      <c r="Q109" s="60"/>
      <c r="S109" s="59"/>
      <c r="T109" s="59"/>
      <c r="U109" s="59"/>
      <c r="V109" s="63"/>
      <c r="W109" s="63"/>
      <c r="X109" s="63"/>
      <c r="Y109" s="63"/>
      <c r="Z109" s="63"/>
      <c r="AA109" s="63"/>
      <c r="AB109" s="63"/>
      <c r="AC109" s="64"/>
      <c r="AD109" s="64"/>
    </row>
    <row r="110" spans="2:99" ht="30" customHeight="1" x14ac:dyDescent="0.25">
      <c r="B110" s="258" t="s">
        <v>1167</v>
      </c>
      <c r="C110" s="258"/>
      <c r="D110" s="258"/>
      <c r="E110" s="258"/>
      <c r="F110" s="258"/>
      <c r="G110" s="258"/>
      <c r="H110" s="258"/>
      <c r="I110" s="258"/>
      <c r="J110" s="258"/>
      <c r="K110" s="258"/>
      <c r="L110" s="258"/>
      <c r="M110" s="258"/>
      <c r="N110" s="258"/>
      <c r="O110" s="258"/>
      <c r="P110" s="258"/>
      <c r="Q110" s="258"/>
      <c r="R110" s="258"/>
      <c r="S110" s="258"/>
      <c r="T110" s="258"/>
      <c r="U110" s="258"/>
      <c r="V110" s="258"/>
      <c r="W110" s="258"/>
      <c r="X110" s="258"/>
      <c r="Y110" s="258"/>
      <c r="Z110" s="258"/>
      <c r="AA110" s="258"/>
      <c r="AB110" s="258"/>
      <c r="AC110" s="64"/>
      <c r="AD110" s="64"/>
    </row>
    <row r="111" spans="2:99" x14ac:dyDescent="0.25">
      <c r="B111" s="59"/>
      <c r="C111" s="59"/>
      <c r="D111" s="59"/>
      <c r="E111" s="59"/>
      <c r="F111" s="59"/>
      <c r="G111" s="59"/>
      <c r="H111" s="65"/>
      <c r="I111" s="65"/>
      <c r="J111" s="59"/>
      <c r="K111" s="59"/>
      <c r="L111" s="65"/>
      <c r="M111" s="66"/>
      <c r="N111" s="66"/>
      <c r="O111" s="66"/>
      <c r="P111" s="66"/>
      <c r="Q111" s="59"/>
      <c r="S111" s="59"/>
      <c r="T111" s="59"/>
      <c r="U111" s="59"/>
      <c r="V111" s="63"/>
      <c r="W111" s="63"/>
      <c r="X111" s="63"/>
      <c r="Y111" s="63"/>
      <c r="Z111" s="63"/>
      <c r="AA111" s="63"/>
      <c r="AB111" s="63"/>
      <c r="AC111" s="64"/>
      <c r="AD111" s="64"/>
    </row>
    <row r="112" spans="2:99" x14ac:dyDescent="0.25">
      <c r="B112" s="59"/>
      <c r="C112" s="59"/>
      <c r="D112" s="59"/>
      <c r="E112" s="59"/>
      <c r="F112" s="59"/>
      <c r="G112" s="59"/>
      <c r="H112" s="65"/>
      <c r="I112" s="65"/>
      <c r="J112" s="60"/>
      <c r="K112" s="60"/>
      <c r="L112" s="61"/>
      <c r="M112" s="62"/>
      <c r="N112" s="62"/>
      <c r="O112" s="62"/>
      <c r="P112" s="62"/>
      <c r="Q112" s="60"/>
      <c r="S112" s="59"/>
      <c r="T112" s="59"/>
      <c r="U112" s="59"/>
      <c r="V112" s="63"/>
      <c r="W112" s="63"/>
      <c r="X112" s="63"/>
      <c r="Y112" s="63"/>
      <c r="Z112" s="63"/>
      <c r="AA112" s="63"/>
      <c r="AB112" s="63"/>
      <c r="AC112" s="64"/>
      <c r="AD112" s="64"/>
    </row>
    <row r="113" spans="2:30" x14ac:dyDescent="0.25">
      <c r="B113" s="59"/>
      <c r="C113" s="59"/>
      <c r="D113" s="59"/>
      <c r="E113" s="59"/>
      <c r="F113" s="59"/>
      <c r="G113" s="59"/>
      <c r="H113" s="65"/>
      <c r="I113" s="65"/>
      <c r="J113" s="60"/>
      <c r="K113" s="60"/>
      <c r="L113" s="61"/>
      <c r="M113" s="62"/>
      <c r="N113" s="62"/>
      <c r="O113" s="62"/>
      <c r="P113" s="62"/>
      <c r="Q113" s="60"/>
      <c r="S113" s="59"/>
      <c r="T113" s="59"/>
      <c r="U113" s="59"/>
      <c r="V113" s="63"/>
      <c r="W113" s="63"/>
      <c r="X113" s="63"/>
      <c r="Y113" s="63"/>
      <c r="Z113" s="63"/>
      <c r="AA113" s="63"/>
      <c r="AB113" s="63"/>
      <c r="AC113" s="64"/>
      <c r="AD113" s="64"/>
    </row>
    <row r="114" spans="2:30" x14ac:dyDescent="0.25">
      <c r="B114" s="59"/>
      <c r="C114" s="59"/>
      <c r="D114" s="59"/>
      <c r="E114" s="59"/>
      <c r="F114" s="59"/>
      <c r="G114" s="59"/>
      <c r="H114" s="65"/>
      <c r="I114" s="65"/>
      <c r="J114" s="60"/>
      <c r="K114" s="60"/>
      <c r="L114" s="61"/>
      <c r="M114" s="62"/>
      <c r="N114" s="62"/>
      <c r="O114" s="62"/>
      <c r="P114" s="62"/>
      <c r="Q114" s="60"/>
      <c r="S114" s="59"/>
      <c r="T114" s="59"/>
      <c r="U114" s="59"/>
      <c r="V114" s="63"/>
      <c r="W114" s="63"/>
      <c r="X114" s="63"/>
      <c r="Y114" s="63"/>
      <c r="Z114" s="63"/>
      <c r="AA114" s="63"/>
      <c r="AB114" s="63"/>
      <c r="AC114" s="64"/>
      <c r="AD114" s="64"/>
    </row>
    <row r="115" spans="2:30" x14ac:dyDescent="0.25">
      <c r="B115" s="59"/>
      <c r="C115" s="59"/>
      <c r="D115" s="59"/>
      <c r="E115" s="59"/>
      <c r="F115" s="59"/>
      <c r="G115" s="59"/>
      <c r="H115" s="65"/>
      <c r="I115" s="65"/>
      <c r="J115" s="60"/>
      <c r="K115" s="60"/>
      <c r="L115" s="61"/>
      <c r="M115" s="62"/>
      <c r="N115" s="62"/>
      <c r="O115" s="62"/>
      <c r="P115" s="62"/>
      <c r="Q115" s="60"/>
      <c r="S115" s="59"/>
      <c r="T115" s="59"/>
      <c r="U115" s="59"/>
      <c r="V115" s="63"/>
      <c r="W115" s="63"/>
      <c r="X115" s="63"/>
      <c r="Y115" s="63"/>
      <c r="Z115" s="63"/>
      <c r="AA115" s="63"/>
      <c r="AB115" s="63"/>
      <c r="AC115" s="64"/>
      <c r="AD115" s="64"/>
    </row>
    <row r="116" spans="2:30" x14ac:dyDescent="0.25">
      <c r="B116" s="59"/>
      <c r="C116" s="59"/>
      <c r="D116" s="59"/>
      <c r="E116" s="59"/>
      <c r="F116" s="59"/>
      <c r="G116" s="59"/>
      <c r="H116" s="65"/>
      <c r="I116" s="65"/>
      <c r="J116" s="59"/>
      <c r="K116" s="59"/>
      <c r="L116" s="65"/>
      <c r="M116" s="66"/>
      <c r="N116" s="66"/>
      <c r="O116" s="66"/>
      <c r="P116" s="66"/>
      <c r="Q116" s="59"/>
      <c r="S116" s="59"/>
      <c r="T116" s="59"/>
      <c r="U116" s="59"/>
      <c r="V116" s="63"/>
      <c r="W116" s="63"/>
      <c r="X116" s="63"/>
      <c r="Y116" s="63"/>
      <c r="Z116" s="63"/>
      <c r="AA116" s="63"/>
      <c r="AB116" s="63"/>
    </row>
    <row r="117" spans="2:30" x14ac:dyDescent="0.25">
      <c r="B117" s="59"/>
      <c r="C117" s="59"/>
      <c r="D117" s="59"/>
      <c r="E117" s="59"/>
      <c r="F117" s="59"/>
      <c r="G117" s="59"/>
      <c r="H117" s="65"/>
      <c r="I117" s="65"/>
      <c r="J117" s="59"/>
      <c r="K117" s="59"/>
      <c r="L117" s="65"/>
      <c r="M117" s="66"/>
      <c r="N117" s="66"/>
      <c r="O117" s="66"/>
      <c r="P117" s="66"/>
      <c r="Q117" s="59"/>
      <c r="S117" s="59"/>
      <c r="T117" s="59"/>
      <c r="U117" s="59"/>
      <c r="V117" s="63"/>
      <c r="W117" s="63"/>
      <c r="X117" s="63"/>
      <c r="Y117" s="63"/>
      <c r="Z117" s="63"/>
      <c r="AA117" s="63"/>
      <c r="AB117" s="63"/>
    </row>
    <row r="118" spans="2:30" x14ac:dyDescent="0.25">
      <c r="B118" s="59"/>
      <c r="C118" s="59"/>
      <c r="D118" s="59"/>
      <c r="E118" s="59"/>
      <c r="F118" s="59"/>
      <c r="G118" s="59"/>
      <c r="H118" s="65"/>
      <c r="I118" s="65"/>
      <c r="J118" s="59"/>
      <c r="K118" s="59"/>
      <c r="L118" s="65"/>
      <c r="M118" s="66"/>
      <c r="N118" s="66"/>
      <c r="O118" s="66"/>
      <c r="P118" s="66"/>
      <c r="Q118" s="59"/>
      <c r="S118" s="59"/>
      <c r="T118" s="59"/>
      <c r="U118" s="59"/>
      <c r="V118" s="63"/>
      <c r="W118" s="63"/>
      <c r="X118" s="63"/>
      <c r="Y118" s="63"/>
      <c r="Z118" s="63"/>
      <c r="AA118" s="63"/>
      <c r="AB118" s="63"/>
    </row>
    <row r="119" spans="2:30" ht="15.6" customHeight="1" x14ac:dyDescent="0.25">
      <c r="B119" s="59"/>
      <c r="C119" s="59"/>
      <c r="D119" s="59"/>
      <c r="E119" s="59"/>
      <c r="F119" s="59"/>
      <c r="G119" s="59"/>
      <c r="H119" s="65"/>
      <c r="I119" s="65"/>
      <c r="J119" s="59"/>
      <c r="K119" s="59"/>
      <c r="L119" s="65"/>
      <c r="M119" s="66"/>
      <c r="N119" s="66"/>
      <c r="O119" s="66"/>
      <c r="P119" s="66"/>
      <c r="Q119" s="59"/>
      <c r="S119" s="59"/>
      <c r="T119" s="59"/>
      <c r="U119" s="59"/>
      <c r="V119" s="63"/>
      <c r="W119" s="63"/>
      <c r="X119" s="63"/>
      <c r="Y119" s="63"/>
      <c r="Z119" s="63"/>
      <c r="AA119" s="63"/>
      <c r="AB119" s="63"/>
    </row>
    <row r="120" spans="2:30" x14ac:dyDescent="0.25">
      <c r="B120" s="59"/>
      <c r="C120" s="59"/>
      <c r="D120" s="59"/>
      <c r="E120" s="59"/>
      <c r="F120" s="59"/>
      <c r="G120" s="59"/>
      <c r="H120" s="65"/>
      <c r="I120" s="65"/>
      <c r="J120" s="59"/>
      <c r="K120" s="59"/>
      <c r="L120" s="65"/>
      <c r="M120" s="66"/>
      <c r="N120" s="66"/>
      <c r="O120" s="66"/>
      <c r="P120" s="66"/>
      <c r="Q120" s="59"/>
      <c r="S120" s="59"/>
      <c r="T120" s="59"/>
      <c r="U120" s="59"/>
      <c r="V120" s="63"/>
      <c r="W120" s="63"/>
      <c r="X120" s="63"/>
      <c r="Y120" s="63"/>
      <c r="Z120" s="63"/>
      <c r="AA120" s="63"/>
      <c r="AB120" s="63"/>
    </row>
    <row r="121" spans="2:30" ht="28.7" customHeight="1" x14ac:dyDescent="0.25">
      <c r="B121" s="59"/>
      <c r="C121" s="59"/>
      <c r="D121" s="59"/>
      <c r="E121" s="59"/>
      <c r="F121" s="59"/>
      <c r="G121" s="59"/>
      <c r="H121" s="65"/>
      <c r="I121" s="65"/>
      <c r="J121" s="59"/>
      <c r="K121" s="59"/>
      <c r="L121" s="65"/>
      <c r="M121" s="66"/>
      <c r="N121" s="66"/>
      <c r="O121" s="66"/>
      <c r="P121" s="66"/>
      <c r="Q121" s="59"/>
      <c r="S121" s="59"/>
      <c r="T121" s="59"/>
      <c r="U121" s="59"/>
      <c r="V121" s="59"/>
      <c r="W121" s="59"/>
      <c r="X121" s="59"/>
      <c r="Y121" s="59"/>
      <c r="Z121" s="59"/>
      <c r="AA121" s="59"/>
      <c r="AB121" s="59"/>
    </row>
    <row r="122" spans="2:30" ht="28.7" customHeight="1" x14ac:dyDescent="0.25">
      <c r="B122" s="59"/>
      <c r="C122" s="59"/>
      <c r="D122" s="59"/>
      <c r="E122" s="59"/>
      <c r="F122" s="59"/>
      <c r="G122" s="59"/>
      <c r="H122" s="65"/>
      <c r="I122" s="65"/>
      <c r="J122" s="59"/>
      <c r="K122" s="59"/>
      <c r="L122" s="65"/>
      <c r="M122" s="66"/>
      <c r="N122" s="66"/>
      <c r="O122" s="66"/>
      <c r="P122" s="66"/>
      <c r="Q122" s="59"/>
      <c r="S122" s="59"/>
      <c r="T122" s="59"/>
      <c r="U122" s="59"/>
      <c r="V122" s="59"/>
      <c r="W122" s="59"/>
      <c r="X122" s="59"/>
      <c r="Y122" s="59"/>
      <c r="Z122" s="59"/>
      <c r="AA122" s="59"/>
      <c r="AB122" s="59"/>
    </row>
    <row r="123" spans="2:30" x14ac:dyDescent="0.25">
      <c r="B123" s="59"/>
      <c r="C123" s="59"/>
      <c r="D123" s="59"/>
      <c r="E123" s="59"/>
      <c r="F123" s="59"/>
      <c r="G123" s="59"/>
      <c r="H123" s="65"/>
      <c r="I123" s="65"/>
      <c r="J123" s="59"/>
      <c r="K123" s="59"/>
      <c r="L123" s="65"/>
      <c r="M123" s="66"/>
      <c r="N123" s="66"/>
      <c r="O123" s="66"/>
      <c r="P123" s="66"/>
      <c r="Q123" s="59"/>
      <c r="S123" s="59"/>
      <c r="T123" s="59"/>
      <c r="U123" s="59"/>
      <c r="V123" s="59"/>
      <c r="W123" s="59"/>
      <c r="X123" s="59"/>
      <c r="Y123" s="59"/>
      <c r="Z123" s="59"/>
      <c r="AA123" s="59"/>
      <c r="AB123" s="59"/>
    </row>
    <row r="124" spans="2:30" ht="21" customHeight="1" x14ac:dyDescent="0.25">
      <c r="B124" s="59"/>
      <c r="C124" s="59"/>
      <c r="D124" s="59"/>
      <c r="E124" s="59"/>
      <c r="F124" s="59"/>
      <c r="G124" s="59"/>
      <c r="H124" s="65"/>
      <c r="I124" s="65"/>
      <c r="J124" s="59"/>
      <c r="K124" s="59"/>
      <c r="L124" s="65"/>
      <c r="M124" s="66"/>
      <c r="N124" s="66"/>
      <c r="O124" s="66"/>
      <c r="P124" s="66"/>
      <c r="Q124" s="59"/>
      <c r="S124" s="59"/>
      <c r="T124" s="59"/>
      <c r="U124" s="59"/>
      <c r="V124" s="59"/>
      <c r="W124" s="59"/>
      <c r="X124" s="59"/>
      <c r="Y124" s="59"/>
      <c r="Z124" s="59"/>
      <c r="AA124" s="59"/>
      <c r="AB124" s="59"/>
    </row>
    <row r="125" spans="2:30" x14ac:dyDescent="0.25">
      <c r="B125" s="59"/>
      <c r="C125" s="59"/>
      <c r="D125" s="59"/>
      <c r="E125" s="59"/>
      <c r="F125" s="59"/>
      <c r="G125" s="59"/>
      <c r="H125" s="65"/>
      <c r="I125" s="65"/>
      <c r="J125" s="59"/>
      <c r="K125" s="59"/>
      <c r="L125" s="65"/>
      <c r="M125" s="66"/>
      <c r="N125" s="66"/>
      <c r="O125" s="66"/>
      <c r="P125" s="66"/>
      <c r="Q125" s="59"/>
      <c r="S125" s="59"/>
      <c r="T125" s="59"/>
      <c r="U125" s="59"/>
      <c r="V125" s="59"/>
      <c r="W125" s="59"/>
      <c r="X125" s="59"/>
      <c r="Y125" s="59"/>
      <c r="Z125" s="59"/>
      <c r="AA125" s="59"/>
      <c r="AB125" s="59"/>
    </row>
    <row r="126" spans="2:30" x14ac:dyDescent="0.25">
      <c r="B126" s="59"/>
      <c r="C126" s="59"/>
      <c r="D126" s="59"/>
      <c r="E126" s="59"/>
      <c r="F126" s="59"/>
      <c r="G126" s="59"/>
      <c r="H126" s="65"/>
      <c r="I126" s="65"/>
      <c r="J126" s="59"/>
      <c r="K126" s="59"/>
      <c r="L126" s="65"/>
      <c r="M126" s="66"/>
      <c r="N126" s="66"/>
      <c r="O126" s="66"/>
      <c r="P126" s="66"/>
      <c r="Q126" s="59"/>
      <c r="S126" s="59"/>
      <c r="T126" s="59"/>
      <c r="U126" s="59"/>
      <c r="V126" s="59"/>
      <c r="W126" s="59"/>
      <c r="X126" s="59"/>
      <c r="Y126" s="59"/>
      <c r="Z126" s="59"/>
      <c r="AA126" s="59"/>
      <c r="AB126" s="59"/>
    </row>
    <row r="127" spans="2:30" x14ac:dyDescent="0.25">
      <c r="B127" s="59"/>
      <c r="C127" s="59"/>
      <c r="D127" s="59"/>
      <c r="E127" s="59"/>
      <c r="F127" s="59"/>
      <c r="G127" s="59"/>
      <c r="H127" s="65"/>
      <c r="I127" s="65"/>
      <c r="J127" s="59"/>
      <c r="K127" s="59"/>
      <c r="L127" s="65"/>
      <c r="M127" s="66"/>
      <c r="N127" s="66"/>
      <c r="O127" s="66"/>
      <c r="P127" s="66"/>
      <c r="Q127" s="59"/>
      <c r="S127" s="59"/>
      <c r="T127" s="59"/>
      <c r="U127" s="59"/>
      <c r="V127" s="59"/>
      <c r="W127" s="59"/>
      <c r="X127" s="59"/>
      <c r="Y127" s="59"/>
      <c r="Z127" s="59"/>
      <c r="AA127" s="59"/>
      <c r="AB127" s="59"/>
    </row>
    <row r="128" spans="2:30" x14ac:dyDescent="0.25">
      <c r="B128" s="59"/>
      <c r="C128" s="59"/>
      <c r="D128" s="59"/>
      <c r="E128" s="59"/>
      <c r="F128" s="59"/>
      <c r="G128" s="59"/>
      <c r="H128" s="65"/>
      <c r="I128" s="65"/>
      <c r="J128" s="59"/>
      <c r="K128" s="59"/>
      <c r="L128" s="65"/>
      <c r="M128" s="66"/>
      <c r="N128" s="66"/>
      <c r="O128" s="66"/>
      <c r="P128" s="66"/>
      <c r="Q128" s="59"/>
      <c r="S128" s="59"/>
      <c r="T128" s="59"/>
      <c r="U128" s="59"/>
      <c r="V128" s="59"/>
      <c r="W128" s="59"/>
      <c r="X128" s="59"/>
      <c r="Y128" s="59"/>
      <c r="Z128" s="59"/>
      <c r="AA128" s="59"/>
      <c r="AB128" s="59"/>
    </row>
    <row r="129" spans="2:28" x14ac:dyDescent="0.25">
      <c r="B129" s="59"/>
      <c r="C129" s="59"/>
      <c r="D129" s="59"/>
      <c r="E129" s="59"/>
      <c r="F129" s="59"/>
      <c r="G129" s="59"/>
      <c r="H129" s="65"/>
      <c r="I129" s="65"/>
      <c r="J129" s="59"/>
      <c r="K129" s="59"/>
      <c r="L129" s="65"/>
      <c r="M129" s="66"/>
      <c r="N129" s="66"/>
      <c r="O129" s="66"/>
      <c r="P129" s="66"/>
      <c r="Q129" s="59"/>
      <c r="S129" s="59"/>
      <c r="T129" s="59"/>
      <c r="U129" s="59"/>
      <c r="V129" s="59"/>
      <c r="W129" s="59"/>
      <c r="X129" s="59"/>
      <c r="Y129" s="59"/>
      <c r="Z129" s="59"/>
      <c r="AA129" s="59"/>
      <c r="AB129" s="59"/>
    </row>
    <row r="130" spans="2:28" x14ac:dyDescent="0.25">
      <c r="B130" s="59"/>
      <c r="C130" s="59"/>
      <c r="D130" s="59"/>
      <c r="E130" s="59"/>
      <c r="F130" s="59"/>
      <c r="G130" s="59"/>
      <c r="H130" s="65"/>
      <c r="I130" s="65"/>
      <c r="J130" s="59"/>
      <c r="K130" s="59"/>
      <c r="L130" s="65"/>
      <c r="M130" s="66"/>
      <c r="N130" s="66"/>
      <c r="O130" s="66"/>
      <c r="P130" s="66"/>
      <c r="Q130" s="59"/>
      <c r="S130" s="59"/>
      <c r="T130" s="59"/>
      <c r="U130" s="59"/>
      <c r="V130" s="59"/>
      <c r="W130" s="59"/>
      <c r="X130" s="59"/>
      <c r="Y130" s="59"/>
      <c r="Z130" s="59"/>
      <c r="AA130" s="59"/>
      <c r="AB130" s="59"/>
    </row>
    <row r="131" spans="2:28" x14ac:dyDescent="0.25">
      <c r="B131" s="59"/>
      <c r="C131" s="59"/>
      <c r="D131" s="59"/>
      <c r="E131" s="59"/>
      <c r="F131" s="59"/>
      <c r="G131" s="59"/>
      <c r="H131" s="65"/>
      <c r="I131" s="65"/>
      <c r="J131" s="59"/>
      <c r="K131" s="59"/>
      <c r="L131" s="65"/>
      <c r="M131" s="66"/>
      <c r="N131" s="66"/>
      <c r="O131" s="66"/>
      <c r="P131" s="66"/>
      <c r="Q131" s="59"/>
      <c r="S131" s="59"/>
      <c r="T131" s="59"/>
      <c r="U131" s="59"/>
      <c r="V131" s="59"/>
      <c r="W131" s="59"/>
      <c r="X131" s="59"/>
      <c r="Y131" s="59"/>
      <c r="Z131" s="59"/>
      <c r="AA131" s="59"/>
      <c r="AB131" s="59"/>
    </row>
    <row r="132" spans="2:28" x14ac:dyDescent="0.25">
      <c r="B132" s="59"/>
      <c r="C132" s="59"/>
      <c r="D132" s="59"/>
      <c r="E132" s="59"/>
      <c r="F132" s="59"/>
      <c r="G132" s="59"/>
      <c r="H132" s="65"/>
      <c r="I132" s="65"/>
      <c r="J132" s="59"/>
      <c r="K132" s="59"/>
      <c r="L132" s="65"/>
      <c r="M132" s="66"/>
      <c r="N132" s="66"/>
      <c r="O132" s="66"/>
      <c r="P132" s="66"/>
      <c r="Q132" s="59"/>
      <c r="S132" s="59"/>
      <c r="T132" s="59"/>
      <c r="U132" s="59"/>
      <c r="V132" s="59"/>
      <c r="W132" s="59"/>
      <c r="X132" s="59"/>
      <c r="Y132" s="59"/>
      <c r="Z132" s="59"/>
      <c r="AA132" s="59"/>
      <c r="AB132" s="59"/>
    </row>
    <row r="133" spans="2:28" x14ac:dyDescent="0.25">
      <c r="B133" s="59"/>
      <c r="C133" s="59"/>
      <c r="D133" s="59"/>
      <c r="E133" s="59"/>
      <c r="F133" s="59"/>
      <c r="G133" s="59"/>
      <c r="H133" s="65"/>
      <c r="I133" s="65"/>
      <c r="J133" s="59"/>
      <c r="K133" s="59"/>
      <c r="L133" s="65"/>
      <c r="M133" s="66"/>
      <c r="N133" s="66"/>
      <c r="O133" s="66"/>
      <c r="P133" s="66"/>
      <c r="Q133" s="59"/>
      <c r="S133" s="59"/>
      <c r="T133" s="59"/>
      <c r="U133" s="59"/>
      <c r="V133" s="59"/>
      <c r="W133" s="59"/>
      <c r="X133" s="59"/>
      <c r="Y133" s="59"/>
      <c r="Z133" s="59"/>
      <c r="AA133" s="59"/>
      <c r="AB133" s="59"/>
    </row>
    <row r="134" spans="2:28" x14ac:dyDescent="0.25">
      <c r="B134" s="59"/>
      <c r="C134" s="59"/>
      <c r="D134" s="59"/>
      <c r="E134" s="59"/>
      <c r="F134" s="59"/>
      <c r="G134" s="59"/>
      <c r="H134" s="65"/>
      <c r="I134" s="65"/>
      <c r="J134" s="59"/>
      <c r="K134" s="59"/>
      <c r="L134" s="65"/>
      <c r="M134" s="66"/>
      <c r="N134" s="66"/>
      <c r="O134" s="66"/>
      <c r="P134" s="66"/>
      <c r="Q134" s="59"/>
      <c r="S134" s="59"/>
      <c r="T134" s="59"/>
      <c r="U134" s="59"/>
      <c r="V134" s="59"/>
      <c r="W134" s="59"/>
      <c r="X134" s="59"/>
      <c r="Y134" s="59"/>
      <c r="Z134" s="59"/>
      <c r="AA134" s="59"/>
      <c r="AB134" s="59"/>
    </row>
    <row r="135" spans="2:28" x14ac:dyDescent="0.25">
      <c r="B135" s="59"/>
      <c r="C135" s="59"/>
      <c r="D135" s="59"/>
      <c r="E135" s="59"/>
      <c r="F135" s="59"/>
      <c r="G135" s="59"/>
      <c r="H135" s="65"/>
      <c r="I135" s="65"/>
      <c r="J135" s="59"/>
      <c r="K135" s="59"/>
      <c r="L135" s="65"/>
      <c r="M135" s="66"/>
      <c r="N135" s="66"/>
      <c r="O135" s="66"/>
      <c r="P135" s="66"/>
      <c r="Q135" s="59"/>
      <c r="S135" s="59"/>
      <c r="T135" s="59"/>
      <c r="U135" s="59"/>
      <c r="V135" s="59"/>
      <c r="W135" s="59"/>
      <c r="X135" s="59"/>
      <c r="Y135" s="59"/>
      <c r="Z135" s="59"/>
      <c r="AA135" s="59"/>
      <c r="AB135" s="59"/>
    </row>
    <row r="136" spans="2:28" x14ac:dyDescent="0.25">
      <c r="B136" s="59"/>
      <c r="C136" s="59"/>
      <c r="D136" s="59"/>
      <c r="E136" s="59"/>
      <c r="F136" s="59"/>
      <c r="G136" s="59"/>
      <c r="H136" s="65"/>
      <c r="I136" s="65"/>
      <c r="J136" s="59"/>
      <c r="K136" s="59"/>
      <c r="L136" s="65"/>
      <c r="M136" s="66"/>
      <c r="N136" s="66"/>
      <c r="O136" s="66"/>
      <c r="P136" s="66"/>
      <c r="Q136" s="59"/>
      <c r="S136" s="59"/>
      <c r="T136" s="59"/>
      <c r="U136" s="59"/>
      <c r="V136" s="59"/>
      <c r="W136" s="59"/>
      <c r="X136" s="59"/>
      <c r="Y136" s="59"/>
      <c r="Z136" s="59"/>
      <c r="AA136" s="59"/>
      <c r="AB136" s="59"/>
    </row>
    <row r="137" spans="2:28" x14ac:dyDescent="0.25">
      <c r="B137" s="59"/>
      <c r="C137" s="59"/>
      <c r="D137" s="59"/>
      <c r="E137" s="59"/>
      <c r="F137" s="59"/>
      <c r="G137" s="59"/>
      <c r="H137" s="65"/>
      <c r="I137" s="65"/>
      <c r="J137" s="59"/>
      <c r="K137" s="59"/>
      <c r="L137" s="65"/>
      <c r="M137" s="66"/>
      <c r="N137" s="66"/>
      <c r="O137" s="66"/>
      <c r="P137" s="66"/>
      <c r="Q137" s="59"/>
      <c r="S137" s="59"/>
      <c r="T137" s="59"/>
      <c r="U137" s="59"/>
      <c r="V137" s="59"/>
      <c r="W137" s="59"/>
      <c r="X137" s="59"/>
      <c r="Y137" s="59"/>
      <c r="Z137" s="59"/>
      <c r="AA137" s="59"/>
      <c r="AB137" s="59"/>
    </row>
    <row r="138" spans="2:28" x14ac:dyDescent="0.25">
      <c r="B138" s="59"/>
      <c r="C138" s="59"/>
      <c r="D138" s="59"/>
      <c r="E138" s="59"/>
      <c r="F138" s="59"/>
      <c r="G138" s="59"/>
      <c r="H138" s="65"/>
      <c r="I138" s="65"/>
      <c r="J138" s="59"/>
      <c r="K138" s="59"/>
      <c r="L138" s="65"/>
      <c r="M138" s="66"/>
      <c r="N138" s="66"/>
      <c r="O138" s="66"/>
      <c r="P138" s="66"/>
      <c r="Q138" s="59"/>
      <c r="S138" s="59"/>
      <c r="T138" s="59"/>
      <c r="U138" s="59"/>
      <c r="V138" s="59"/>
      <c r="W138" s="59"/>
      <c r="X138" s="59"/>
      <c r="Y138" s="59"/>
      <c r="Z138" s="59"/>
      <c r="AA138" s="59"/>
      <c r="AB138" s="59"/>
    </row>
    <row r="139" spans="2:28" x14ac:dyDescent="0.25">
      <c r="B139" s="59"/>
      <c r="C139" s="59"/>
      <c r="D139" s="59"/>
      <c r="E139" s="59"/>
      <c r="F139" s="59"/>
      <c r="G139" s="59"/>
      <c r="H139" s="65"/>
      <c r="I139" s="65"/>
      <c r="J139" s="59"/>
      <c r="K139" s="59"/>
      <c r="L139" s="65"/>
      <c r="M139" s="66"/>
      <c r="N139" s="66"/>
      <c r="O139" s="66"/>
      <c r="P139" s="66"/>
      <c r="Q139" s="59"/>
      <c r="S139" s="59"/>
      <c r="T139" s="59"/>
      <c r="U139" s="59"/>
      <c r="V139" s="59"/>
      <c r="W139" s="59"/>
      <c r="X139" s="59"/>
      <c r="Y139" s="59"/>
      <c r="Z139" s="59"/>
      <c r="AA139" s="59"/>
      <c r="AB139" s="59"/>
    </row>
    <row r="140" spans="2:28" x14ac:dyDescent="0.25">
      <c r="B140" s="59"/>
      <c r="C140" s="59"/>
      <c r="D140" s="59"/>
      <c r="E140" s="59"/>
      <c r="F140" s="59"/>
      <c r="G140" s="59"/>
      <c r="H140" s="65"/>
      <c r="I140" s="65"/>
      <c r="J140" s="59"/>
      <c r="K140" s="59"/>
      <c r="L140" s="65"/>
      <c r="M140" s="66"/>
      <c r="N140" s="66"/>
      <c r="O140" s="66"/>
      <c r="P140" s="66"/>
      <c r="Q140" s="59"/>
      <c r="S140" s="59"/>
      <c r="T140" s="59"/>
      <c r="U140" s="59"/>
      <c r="V140" s="59"/>
      <c r="W140" s="59"/>
      <c r="X140" s="59"/>
      <c r="Y140" s="59"/>
      <c r="Z140" s="59"/>
      <c r="AA140" s="59"/>
      <c r="AB140" s="59"/>
    </row>
    <row r="141" spans="2:28" x14ac:dyDescent="0.25">
      <c r="B141" s="59"/>
      <c r="C141" s="59"/>
      <c r="D141" s="59"/>
      <c r="E141" s="59"/>
      <c r="F141" s="59"/>
      <c r="G141" s="59"/>
      <c r="H141" s="65"/>
      <c r="I141" s="65"/>
      <c r="J141" s="59"/>
      <c r="K141" s="59"/>
      <c r="L141" s="65"/>
      <c r="M141" s="66"/>
      <c r="N141" s="66"/>
      <c r="O141" s="66"/>
      <c r="P141" s="66"/>
      <c r="Q141" s="59"/>
      <c r="S141" s="59"/>
      <c r="T141" s="59"/>
      <c r="U141" s="59"/>
      <c r="V141" s="59"/>
      <c r="W141" s="59"/>
      <c r="X141" s="59"/>
      <c r="Y141" s="59"/>
      <c r="Z141" s="59"/>
      <c r="AA141" s="59"/>
      <c r="AB141" s="59"/>
    </row>
    <row r="142" spans="2:28" x14ac:dyDescent="0.25">
      <c r="B142" s="59"/>
      <c r="C142" s="59"/>
      <c r="D142" s="59"/>
      <c r="E142" s="59"/>
      <c r="F142" s="59"/>
      <c r="G142" s="59"/>
      <c r="H142" s="65"/>
      <c r="I142" s="65"/>
      <c r="J142" s="59"/>
      <c r="K142" s="59"/>
      <c r="L142" s="65"/>
      <c r="M142" s="66"/>
      <c r="N142" s="66"/>
      <c r="O142" s="66"/>
      <c r="P142" s="66"/>
      <c r="Q142" s="59"/>
      <c r="S142" s="59"/>
      <c r="T142" s="59"/>
      <c r="U142" s="59"/>
      <c r="V142" s="59"/>
      <c r="W142" s="59"/>
      <c r="X142" s="59"/>
      <c r="Y142" s="59"/>
      <c r="Z142" s="59"/>
      <c r="AA142" s="59"/>
      <c r="AB142" s="59"/>
    </row>
    <row r="143" spans="2:28" x14ac:dyDescent="0.25">
      <c r="B143" s="59"/>
      <c r="C143" s="59"/>
      <c r="D143" s="59"/>
      <c r="E143" s="59"/>
      <c r="F143" s="59"/>
      <c r="G143" s="59"/>
      <c r="H143" s="65"/>
      <c r="I143" s="65"/>
      <c r="J143" s="59"/>
      <c r="K143" s="59"/>
      <c r="L143" s="65"/>
      <c r="M143" s="66"/>
      <c r="N143" s="66"/>
      <c r="O143" s="66"/>
      <c r="P143" s="66"/>
      <c r="Q143" s="59"/>
      <c r="S143" s="59"/>
      <c r="T143" s="59"/>
      <c r="U143" s="59"/>
      <c r="V143" s="59"/>
      <c r="W143" s="59"/>
      <c r="X143" s="59"/>
      <c r="Y143" s="59"/>
      <c r="Z143" s="59"/>
      <c r="AA143" s="59"/>
      <c r="AB143" s="59"/>
    </row>
    <row r="144" spans="2:28" x14ac:dyDescent="0.25">
      <c r="B144" s="59"/>
      <c r="C144" s="59"/>
      <c r="D144" s="59"/>
      <c r="E144" s="59"/>
      <c r="F144" s="59"/>
      <c r="G144" s="59"/>
      <c r="H144" s="65"/>
      <c r="I144" s="65"/>
      <c r="J144" s="59"/>
      <c r="K144" s="59"/>
      <c r="L144" s="65"/>
      <c r="M144" s="66"/>
      <c r="N144" s="66"/>
      <c r="O144" s="66"/>
      <c r="P144" s="66"/>
      <c r="Q144" s="59"/>
      <c r="S144" s="59"/>
      <c r="T144" s="59"/>
      <c r="U144" s="59"/>
      <c r="V144" s="59"/>
      <c r="W144" s="59"/>
      <c r="X144" s="59"/>
      <c r="Y144" s="59"/>
      <c r="Z144" s="59"/>
      <c r="AA144" s="59"/>
      <c r="AB144" s="59"/>
    </row>
    <row r="145" spans="2:28" x14ac:dyDescent="0.25">
      <c r="B145" s="59"/>
      <c r="C145" s="59"/>
      <c r="D145" s="59"/>
      <c r="E145" s="59"/>
      <c r="F145" s="59"/>
      <c r="G145" s="59"/>
      <c r="H145" s="65"/>
      <c r="I145" s="65"/>
      <c r="J145" s="59"/>
      <c r="K145" s="59"/>
      <c r="L145" s="65"/>
      <c r="M145" s="66"/>
      <c r="N145" s="66"/>
      <c r="O145" s="66"/>
      <c r="P145" s="66"/>
      <c r="Q145" s="59"/>
      <c r="S145" s="59"/>
      <c r="T145" s="59"/>
      <c r="U145" s="59"/>
      <c r="V145" s="59"/>
      <c r="W145" s="59"/>
      <c r="X145" s="59"/>
      <c r="Y145" s="59"/>
      <c r="Z145" s="59"/>
      <c r="AA145" s="59"/>
      <c r="AB145" s="59"/>
    </row>
    <row r="146" spans="2:28" x14ac:dyDescent="0.25">
      <c r="B146" s="59"/>
      <c r="C146" s="59"/>
      <c r="D146" s="59"/>
      <c r="E146" s="59"/>
      <c r="F146" s="59"/>
      <c r="G146" s="59"/>
      <c r="H146" s="65"/>
      <c r="I146" s="65"/>
      <c r="J146" s="59"/>
      <c r="K146" s="59"/>
      <c r="L146" s="65"/>
      <c r="M146" s="66"/>
      <c r="N146" s="66"/>
      <c r="O146" s="66"/>
      <c r="P146" s="66"/>
      <c r="Q146" s="59"/>
      <c r="S146" s="59"/>
      <c r="T146" s="59"/>
      <c r="U146" s="59"/>
      <c r="V146" s="59"/>
      <c r="W146" s="59"/>
      <c r="X146" s="59"/>
      <c r="Y146" s="59"/>
      <c r="Z146" s="59"/>
      <c r="AA146" s="59"/>
      <c r="AB146" s="59"/>
    </row>
    <row r="147" spans="2:28" x14ac:dyDescent="0.25">
      <c r="B147" s="59"/>
      <c r="C147" s="59"/>
      <c r="D147" s="59"/>
      <c r="E147" s="59"/>
      <c r="F147" s="59"/>
      <c r="G147" s="59"/>
      <c r="H147" s="65"/>
      <c r="I147" s="65"/>
      <c r="J147" s="59"/>
      <c r="K147" s="59"/>
      <c r="L147" s="65"/>
      <c r="M147" s="66"/>
      <c r="N147" s="66"/>
      <c r="O147" s="66"/>
      <c r="P147" s="66"/>
      <c r="Q147" s="59"/>
      <c r="S147" s="59"/>
      <c r="T147" s="59"/>
      <c r="U147" s="59"/>
      <c r="V147" s="59"/>
      <c r="W147" s="59"/>
      <c r="X147" s="59"/>
      <c r="Y147" s="59"/>
      <c r="Z147" s="59"/>
      <c r="AA147" s="59"/>
      <c r="AB147" s="59"/>
    </row>
    <row r="148" spans="2:28" x14ac:dyDescent="0.25">
      <c r="B148" s="59"/>
      <c r="C148" s="59"/>
      <c r="D148" s="59"/>
      <c r="E148" s="59"/>
      <c r="F148" s="59"/>
      <c r="G148" s="59"/>
      <c r="H148" s="65"/>
      <c r="I148" s="65"/>
      <c r="J148" s="59"/>
      <c r="K148" s="59"/>
      <c r="L148" s="65"/>
      <c r="M148" s="66"/>
      <c r="N148" s="66"/>
      <c r="O148" s="66"/>
      <c r="P148" s="66"/>
      <c r="Q148" s="59"/>
      <c r="S148" s="59"/>
      <c r="T148" s="59"/>
      <c r="U148" s="59"/>
      <c r="V148" s="59"/>
      <c r="W148" s="59"/>
      <c r="X148" s="59"/>
      <c r="Y148" s="59"/>
      <c r="Z148" s="59"/>
      <c r="AA148" s="59"/>
      <c r="AB148" s="59"/>
    </row>
    <row r="149" spans="2:28" x14ac:dyDescent="0.25">
      <c r="B149" s="59"/>
      <c r="C149" s="59"/>
      <c r="D149" s="59"/>
      <c r="E149" s="59"/>
      <c r="F149" s="59"/>
      <c r="G149" s="59"/>
      <c r="H149" s="65"/>
      <c r="I149" s="65"/>
      <c r="J149" s="59"/>
      <c r="K149" s="59"/>
      <c r="L149" s="65"/>
      <c r="M149" s="66"/>
      <c r="N149" s="66"/>
      <c r="O149" s="66"/>
      <c r="P149" s="66"/>
      <c r="Q149" s="59"/>
      <c r="S149" s="59"/>
      <c r="T149" s="59"/>
      <c r="U149" s="59"/>
      <c r="V149" s="59"/>
      <c r="W149" s="59"/>
      <c r="X149" s="59"/>
      <c r="Y149" s="59"/>
      <c r="Z149" s="59"/>
      <c r="AA149" s="59"/>
      <c r="AB149" s="59"/>
    </row>
    <row r="150" spans="2:28" x14ac:dyDescent="0.25">
      <c r="B150" s="59"/>
      <c r="C150" s="59"/>
      <c r="D150" s="59"/>
      <c r="E150" s="59"/>
      <c r="F150" s="59"/>
      <c r="G150" s="59"/>
      <c r="H150" s="65"/>
      <c r="I150" s="65"/>
      <c r="J150" s="59"/>
      <c r="K150" s="59"/>
      <c r="L150" s="65"/>
      <c r="M150" s="66"/>
      <c r="N150" s="66"/>
      <c r="O150" s="66"/>
      <c r="P150" s="66"/>
      <c r="Q150" s="59"/>
      <c r="S150" s="59"/>
      <c r="T150" s="59"/>
      <c r="U150" s="59"/>
      <c r="V150" s="59"/>
      <c r="W150" s="59"/>
      <c r="X150" s="59"/>
      <c r="Y150" s="59"/>
      <c r="Z150" s="59"/>
      <c r="AA150" s="59"/>
      <c r="AB150" s="59"/>
    </row>
    <row r="151" spans="2:28" x14ac:dyDescent="0.25">
      <c r="B151" s="59"/>
      <c r="C151" s="59"/>
      <c r="D151" s="59"/>
      <c r="E151" s="59"/>
      <c r="F151" s="59"/>
      <c r="G151" s="59"/>
      <c r="H151" s="65"/>
      <c r="I151" s="65"/>
      <c r="J151" s="59"/>
      <c r="K151" s="59"/>
      <c r="L151" s="65"/>
      <c r="M151" s="66"/>
      <c r="N151" s="66"/>
      <c r="O151" s="66"/>
      <c r="P151" s="66"/>
      <c r="Q151" s="59"/>
      <c r="S151" s="59"/>
      <c r="T151" s="59"/>
      <c r="U151" s="59"/>
      <c r="V151" s="59"/>
      <c r="W151" s="59"/>
      <c r="X151" s="59"/>
      <c r="Y151" s="59"/>
      <c r="Z151" s="59"/>
      <c r="AA151" s="59"/>
      <c r="AB151" s="59"/>
    </row>
    <row r="152" spans="2:28" x14ac:dyDescent="0.25">
      <c r="B152" s="59"/>
      <c r="C152" s="59"/>
      <c r="D152" s="59"/>
      <c r="E152" s="59"/>
      <c r="F152" s="59"/>
      <c r="G152" s="59"/>
      <c r="H152" s="65"/>
      <c r="I152" s="65"/>
      <c r="J152" s="59"/>
      <c r="K152" s="59"/>
      <c r="L152" s="65"/>
      <c r="M152" s="66"/>
      <c r="N152" s="66"/>
      <c r="O152" s="66"/>
      <c r="P152" s="66"/>
      <c r="Q152" s="59"/>
      <c r="S152" s="59"/>
      <c r="T152" s="59"/>
      <c r="U152" s="59"/>
      <c r="V152" s="59"/>
      <c r="W152" s="59"/>
      <c r="X152" s="59"/>
      <c r="Y152" s="59"/>
      <c r="Z152" s="59"/>
      <c r="AA152" s="59"/>
      <c r="AB152" s="59"/>
    </row>
    <row r="153" spans="2:28" x14ac:dyDescent="0.25">
      <c r="B153" s="59"/>
      <c r="C153" s="59"/>
      <c r="D153" s="59"/>
      <c r="E153" s="59"/>
      <c r="F153" s="59"/>
      <c r="G153" s="59"/>
      <c r="H153" s="65"/>
      <c r="I153" s="65"/>
      <c r="J153" s="59"/>
      <c r="K153" s="59"/>
      <c r="L153" s="65"/>
      <c r="M153" s="66"/>
      <c r="N153" s="66"/>
      <c r="O153" s="66"/>
      <c r="P153" s="66"/>
      <c r="Q153" s="59"/>
      <c r="S153" s="59"/>
      <c r="T153" s="59"/>
      <c r="U153" s="59"/>
      <c r="V153" s="59"/>
      <c r="W153" s="59"/>
      <c r="X153" s="59"/>
      <c r="Y153" s="59"/>
      <c r="Z153" s="59"/>
      <c r="AA153" s="59"/>
      <c r="AB153" s="59"/>
    </row>
    <row r="154" spans="2:28" x14ac:dyDescent="0.25">
      <c r="B154" s="59"/>
      <c r="C154" s="59"/>
      <c r="D154" s="59"/>
      <c r="E154" s="59"/>
      <c r="F154" s="59"/>
      <c r="G154" s="59"/>
      <c r="H154" s="65"/>
      <c r="I154" s="65"/>
      <c r="J154" s="59"/>
      <c r="K154" s="59"/>
      <c r="L154" s="65"/>
      <c r="M154" s="66"/>
      <c r="N154" s="66"/>
      <c r="O154" s="66"/>
      <c r="P154" s="66"/>
      <c r="Q154" s="59"/>
      <c r="S154" s="59"/>
      <c r="T154" s="59"/>
      <c r="U154" s="59"/>
      <c r="V154" s="59"/>
      <c r="W154" s="59"/>
      <c r="X154" s="59"/>
      <c r="Y154" s="59"/>
      <c r="Z154" s="59"/>
      <c r="AA154" s="59"/>
      <c r="AB154" s="59"/>
    </row>
    <row r="155" spans="2:28" x14ac:dyDescent="0.25">
      <c r="B155" s="59"/>
      <c r="C155" s="59"/>
      <c r="D155" s="59"/>
      <c r="E155" s="59"/>
      <c r="F155" s="59"/>
      <c r="G155" s="59"/>
      <c r="H155" s="65"/>
      <c r="I155" s="65"/>
      <c r="J155" s="59"/>
      <c r="K155" s="59"/>
      <c r="L155" s="65"/>
      <c r="M155" s="66"/>
      <c r="N155" s="66"/>
      <c r="O155" s="66"/>
      <c r="P155" s="66"/>
      <c r="Q155" s="59"/>
      <c r="S155" s="59"/>
      <c r="T155" s="59"/>
      <c r="U155" s="59"/>
      <c r="V155" s="59"/>
      <c r="W155" s="59"/>
      <c r="X155" s="59"/>
      <c r="Y155" s="59"/>
      <c r="Z155" s="59"/>
      <c r="AA155" s="59"/>
      <c r="AB155" s="59"/>
    </row>
    <row r="156" spans="2:28" x14ac:dyDescent="0.25">
      <c r="B156" s="59"/>
      <c r="C156" s="59"/>
      <c r="D156" s="59"/>
      <c r="E156" s="59"/>
      <c r="F156" s="59"/>
      <c r="G156" s="59"/>
      <c r="H156" s="65"/>
      <c r="I156" s="65"/>
      <c r="J156" s="59"/>
      <c r="K156" s="59"/>
      <c r="L156" s="65"/>
      <c r="M156" s="66"/>
      <c r="N156" s="66"/>
      <c r="O156" s="66"/>
      <c r="P156" s="66"/>
      <c r="Q156" s="59"/>
      <c r="S156" s="59"/>
      <c r="T156" s="59"/>
      <c r="U156" s="59"/>
      <c r="V156" s="59"/>
      <c r="W156" s="59"/>
      <c r="X156" s="59"/>
      <c r="Y156" s="59"/>
      <c r="Z156" s="59"/>
      <c r="AA156" s="59"/>
      <c r="AB156" s="59"/>
    </row>
    <row r="157" spans="2:28" x14ac:dyDescent="0.25">
      <c r="B157" s="59"/>
      <c r="C157" s="59"/>
      <c r="D157" s="59"/>
      <c r="E157" s="59"/>
      <c r="F157" s="59"/>
      <c r="G157" s="59"/>
      <c r="H157" s="65"/>
      <c r="I157" s="65"/>
      <c r="J157" s="59"/>
      <c r="K157" s="59"/>
      <c r="L157" s="65"/>
      <c r="M157" s="66"/>
      <c r="N157" s="66"/>
      <c r="O157" s="66"/>
      <c r="P157" s="66"/>
      <c r="Q157" s="59"/>
      <c r="S157" s="59"/>
      <c r="T157" s="59"/>
      <c r="U157" s="59"/>
      <c r="V157" s="59"/>
      <c r="W157" s="59"/>
      <c r="X157" s="59"/>
      <c r="Y157" s="59"/>
      <c r="Z157" s="59"/>
      <c r="AA157" s="59"/>
      <c r="AB157" s="59"/>
    </row>
    <row r="158" spans="2:28" x14ac:dyDescent="0.25">
      <c r="B158" s="59"/>
      <c r="C158" s="59"/>
      <c r="D158" s="59"/>
      <c r="E158" s="59"/>
      <c r="F158" s="59"/>
      <c r="G158" s="59"/>
      <c r="H158" s="65"/>
      <c r="I158" s="65"/>
      <c r="J158" s="59"/>
      <c r="K158" s="59"/>
      <c r="L158" s="65"/>
      <c r="M158" s="66"/>
      <c r="N158" s="66"/>
      <c r="O158" s="66"/>
      <c r="P158" s="66"/>
      <c r="Q158" s="59"/>
      <c r="S158" s="59"/>
      <c r="T158" s="59"/>
      <c r="U158" s="59"/>
      <c r="V158" s="59"/>
      <c r="W158" s="59"/>
      <c r="X158" s="59"/>
      <c r="Y158" s="59"/>
      <c r="Z158" s="59"/>
      <c r="AA158" s="59"/>
      <c r="AB158" s="59"/>
    </row>
    <row r="159" spans="2:28" x14ac:dyDescent="0.25">
      <c r="B159" s="59"/>
      <c r="C159" s="59"/>
      <c r="D159" s="59"/>
      <c r="E159" s="59"/>
      <c r="F159" s="59"/>
      <c r="G159" s="59"/>
      <c r="H159" s="65"/>
      <c r="I159" s="65"/>
      <c r="J159" s="59"/>
      <c r="K159" s="59"/>
      <c r="L159" s="65"/>
      <c r="M159" s="66"/>
      <c r="N159" s="66"/>
      <c r="O159" s="66"/>
      <c r="P159" s="66"/>
      <c r="Q159" s="59"/>
      <c r="S159" s="59"/>
      <c r="T159" s="59"/>
      <c r="U159" s="59"/>
      <c r="V159" s="59"/>
      <c r="W159" s="59"/>
      <c r="X159" s="59"/>
      <c r="Y159" s="59"/>
      <c r="Z159" s="59"/>
      <c r="AA159" s="59"/>
      <c r="AB159" s="59"/>
    </row>
    <row r="160" spans="2:28" x14ac:dyDescent="0.25">
      <c r="B160" s="59"/>
      <c r="C160" s="59"/>
      <c r="D160" s="59"/>
      <c r="E160" s="59"/>
      <c r="F160" s="59"/>
      <c r="G160" s="59"/>
      <c r="H160" s="65"/>
      <c r="I160" s="65"/>
      <c r="J160" s="59"/>
      <c r="K160" s="59"/>
      <c r="L160" s="65"/>
      <c r="M160" s="66"/>
      <c r="N160" s="66"/>
      <c r="O160" s="66"/>
      <c r="P160" s="66"/>
      <c r="Q160" s="59"/>
      <c r="S160" s="59"/>
      <c r="T160" s="59"/>
      <c r="U160" s="59"/>
      <c r="V160" s="59"/>
      <c r="W160" s="59"/>
      <c r="X160" s="59"/>
      <c r="Y160" s="59"/>
      <c r="Z160" s="59"/>
      <c r="AA160" s="59"/>
      <c r="AB160" s="59"/>
    </row>
    <row r="161" spans="2:28" x14ac:dyDescent="0.25">
      <c r="B161" s="59"/>
      <c r="C161" s="59"/>
      <c r="D161" s="59"/>
      <c r="E161" s="59"/>
      <c r="F161" s="59"/>
      <c r="G161" s="59"/>
      <c r="H161" s="65"/>
      <c r="I161" s="65"/>
      <c r="J161" s="59"/>
      <c r="K161" s="59"/>
      <c r="L161" s="65"/>
      <c r="M161" s="66"/>
      <c r="N161" s="66"/>
      <c r="O161" s="66"/>
      <c r="P161" s="66"/>
      <c r="Q161" s="59"/>
      <c r="S161" s="59"/>
      <c r="T161" s="59"/>
      <c r="U161" s="59"/>
      <c r="V161" s="59"/>
      <c r="W161" s="59"/>
      <c r="X161" s="59"/>
      <c r="Y161" s="59"/>
      <c r="Z161" s="59"/>
      <c r="AA161" s="59"/>
      <c r="AB161" s="59"/>
    </row>
    <row r="162" spans="2:28" x14ac:dyDescent="0.25">
      <c r="B162" s="59"/>
      <c r="C162" s="59"/>
      <c r="D162" s="59"/>
      <c r="E162" s="59"/>
      <c r="F162" s="59"/>
      <c r="G162" s="59"/>
      <c r="H162" s="65"/>
      <c r="I162" s="65"/>
      <c r="J162" s="59"/>
      <c r="K162" s="59"/>
      <c r="L162" s="65"/>
      <c r="M162" s="66"/>
      <c r="N162" s="66"/>
      <c r="O162" s="66"/>
      <c r="P162" s="66"/>
      <c r="Q162" s="59"/>
      <c r="S162" s="59"/>
      <c r="T162" s="59"/>
      <c r="U162" s="59"/>
      <c r="V162" s="59"/>
      <c r="W162" s="59"/>
      <c r="X162" s="59"/>
      <c r="Y162" s="59"/>
      <c r="Z162" s="59"/>
      <c r="AA162" s="59"/>
      <c r="AB162" s="59"/>
    </row>
    <row r="163" spans="2:28" x14ac:dyDescent="0.25">
      <c r="B163" s="59"/>
      <c r="C163" s="59"/>
      <c r="D163" s="59"/>
      <c r="E163" s="59"/>
      <c r="F163" s="59"/>
      <c r="G163" s="59"/>
      <c r="H163" s="65"/>
      <c r="I163" s="65"/>
      <c r="J163" s="59"/>
      <c r="K163" s="59"/>
      <c r="L163" s="65"/>
      <c r="M163" s="66"/>
      <c r="N163" s="66"/>
      <c r="O163" s="66"/>
      <c r="P163" s="66"/>
      <c r="Q163" s="59"/>
      <c r="S163" s="59"/>
      <c r="T163" s="59"/>
      <c r="U163" s="59"/>
      <c r="V163" s="59"/>
      <c r="W163" s="59"/>
      <c r="X163" s="59"/>
      <c r="Y163" s="59"/>
      <c r="Z163" s="59"/>
      <c r="AA163" s="59"/>
      <c r="AB163" s="59"/>
    </row>
    <row r="164" spans="2:28" x14ac:dyDescent="0.25">
      <c r="B164" s="59"/>
      <c r="C164" s="59"/>
      <c r="D164" s="59"/>
      <c r="E164" s="59"/>
      <c r="F164" s="59"/>
      <c r="G164" s="59"/>
      <c r="H164" s="65"/>
      <c r="I164" s="65"/>
      <c r="J164" s="59"/>
      <c r="K164" s="59"/>
      <c r="L164" s="65"/>
      <c r="M164" s="66"/>
      <c r="N164" s="66"/>
      <c r="O164" s="66"/>
      <c r="P164" s="66"/>
      <c r="Q164" s="59"/>
      <c r="S164" s="59"/>
      <c r="T164" s="59"/>
      <c r="U164" s="59"/>
      <c r="V164" s="59"/>
      <c r="W164" s="59"/>
      <c r="X164" s="59"/>
      <c r="Y164" s="59"/>
      <c r="Z164" s="59"/>
      <c r="AA164" s="59"/>
      <c r="AB164" s="59"/>
    </row>
    <row r="165" spans="2:28" x14ac:dyDescent="0.25">
      <c r="B165" s="59"/>
      <c r="C165" s="59"/>
      <c r="D165" s="59"/>
      <c r="E165" s="59"/>
      <c r="F165" s="59"/>
      <c r="G165" s="59"/>
      <c r="H165" s="65"/>
      <c r="I165" s="65"/>
      <c r="J165" s="59"/>
      <c r="K165" s="59"/>
      <c r="L165" s="65"/>
      <c r="M165" s="66"/>
      <c r="N165" s="66"/>
      <c r="O165" s="66"/>
      <c r="P165" s="66"/>
      <c r="Q165" s="59"/>
      <c r="S165" s="59"/>
      <c r="T165" s="59"/>
      <c r="U165" s="59"/>
      <c r="V165" s="59"/>
      <c r="W165" s="59"/>
      <c r="X165" s="59"/>
      <c r="Y165" s="59"/>
      <c r="Z165" s="59"/>
      <c r="AA165" s="59"/>
      <c r="AB165" s="59"/>
    </row>
    <row r="166" spans="2:28" x14ac:dyDescent="0.25">
      <c r="B166" s="59"/>
      <c r="C166" s="59"/>
      <c r="D166" s="59"/>
      <c r="E166" s="59"/>
      <c r="F166" s="59"/>
      <c r="G166" s="59"/>
      <c r="H166" s="65"/>
      <c r="I166" s="65"/>
      <c r="J166" s="59"/>
      <c r="K166" s="59"/>
      <c r="L166" s="65"/>
      <c r="M166" s="66"/>
      <c r="N166" s="66"/>
      <c r="O166" s="66"/>
      <c r="P166" s="66"/>
      <c r="Q166" s="59"/>
      <c r="S166" s="59"/>
      <c r="T166" s="59"/>
      <c r="U166" s="59"/>
      <c r="V166" s="59"/>
      <c r="W166" s="59"/>
      <c r="X166" s="59"/>
      <c r="Y166" s="59"/>
      <c r="Z166" s="59"/>
      <c r="AA166" s="59"/>
      <c r="AB166" s="59"/>
    </row>
    <row r="167" spans="2:28" x14ac:dyDescent="0.25">
      <c r="B167" s="59"/>
      <c r="C167" s="59"/>
      <c r="D167" s="59"/>
      <c r="E167" s="59"/>
      <c r="F167" s="59"/>
      <c r="G167" s="59"/>
      <c r="H167" s="65"/>
      <c r="I167" s="65"/>
      <c r="J167" s="59"/>
      <c r="K167" s="59"/>
      <c r="L167" s="65"/>
      <c r="M167" s="66"/>
      <c r="N167" s="66"/>
      <c r="O167" s="66"/>
      <c r="P167" s="66"/>
      <c r="Q167" s="59"/>
      <c r="S167" s="59"/>
      <c r="T167" s="59"/>
      <c r="U167" s="59"/>
      <c r="V167" s="59"/>
      <c r="W167" s="59"/>
      <c r="X167" s="59"/>
      <c r="Y167" s="59"/>
      <c r="Z167" s="59"/>
      <c r="AA167" s="59"/>
      <c r="AB167" s="59"/>
    </row>
    <row r="168" spans="2:28" x14ac:dyDescent="0.25">
      <c r="B168" s="59"/>
      <c r="C168" s="59"/>
      <c r="D168" s="59"/>
      <c r="E168" s="59"/>
      <c r="F168" s="59"/>
      <c r="G168" s="59"/>
      <c r="H168" s="65"/>
      <c r="I168" s="65"/>
      <c r="J168" s="59"/>
      <c r="K168" s="59"/>
      <c r="L168" s="65"/>
      <c r="M168" s="66"/>
      <c r="N168" s="66"/>
      <c r="O168" s="66"/>
      <c r="P168" s="66"/>
      <c r="Q168" s="59"/>
      <c r="S168" s="59"/>
      <c r="T168" s="59"/>
      <c r="U168" s="59"/>
      <c r="V168" s="63"/>
      <c r="W168" s="63"/>
      <c r="X168" s="63"/>
      <c r="Y168" s="63"/>
      <c r="Z168" s="63"/>
      <c r="AA168" s="63"/>
      <c r="AB168" s="63"/>
    </row>
    <row r="169" spans="2:28" x14ac:dyDescent="0.25">
      <c r="B169" s="59"/>
      <c r="C169" s="59"/>
      <c r="D169" s="59"/>
      <c r="E169" s="59"/>
      <c r="F169" s="59"/>
      <c r="G169" s="59"/>
      <c r="H169" s="65"/>
      <c r="I169" s="65"/>
      <c r="J169" s="59"/>
      <c r="K169" s="59"/>
      <c r="L169" s="65"/>
      <c r="M169" s="66"/>
      <c r="N169" s="66"/>
      <c r="O169" s="66"/>
      <c r="P169" s="66"/>
      <c r="Q169" s="59"/>
      <c r="S169" s="59"/>
      <c r="T169" s="59"/>
      <c r="U169" s="59"/>
      <c r="V169" s="63"/>
      <c r="W169" s="63"/>
      <c r="X169" s="63"/>
      <c r="Y169" s="63"/>
      <c r="Z169" s="63"/>
      <c r="AA169" s="63"/>
      <c r="AB169" s="63"/>
    </row>
    <row r="170" spans="2:28" x14ac:dyDescent="0.25">
      <c r="B170" s="59"/>
      <c r="C170" s="59"/>
      <c r="D170" s="59"/>
      <c r="E170" s="59"/>
      <c r="F170" s="59"/>
      <c r="G170" s="59"/>
      <c r="H170" s="65"/>
      <c r="I170" s="65"/>
      <c r="J170" s="59"/>
      <c r="K170" s="59"/>
      <c r="L170" s="65"/>
      <c r="M170" s="66"/>
      <c r="N170" s="66"/>
      <c r="O170" s="66"/>
      <c r="P170" s="66"/>
      <c r="Q170" s="59"/>
      <c r="S170" s="59"/>
      <c r="T170" s="59"/>
      <c r="U170" s="59"/>
      <c r="V170" s="63"/>
      <c r="W170" s="63"/>
      <c r="X170" s="63"/>
      <c r="Y170" s="63"/>
      <c r="Z170" s="63"/>
      <c r="AA170" s="63"/>
      <c r="AB170" s="63"/>
    </row>
    <row r="171" spans="2:28" x14ac:dyDescent="0.25">
      <c r="B171" s="59"/>
      <c r="C171" s="59"/>
      <c r="D171" s="59"/>
      <c r="E171" s="59"/>
      <c r="F171" s="59"/>
      <c r="G171" s="59"/>
      <c r="H171" s="65"/>
      <c r="I171" s="65"/>
      <c r="J171" s="59"/>
      <c r="K171" s="59"/>
      <c r="L171" s="65"/>
      <c r="M171" s="66"/>
      <c r="N171" s="66"/>
      <c r="O171" s="66"/>
      <c r="P171" s="66"/>
      <c r="Q171" s="59"/>
      <c r="S171" s="59"/>
      <c r="T171" s="59"/>
      <c r="U171" s="59"/>
      <c r="V171" s="63"/>
      <c r="W171" s="63"/>
      <c r="X171" s="63"/>
      <c r="Y171" s="63"/>
      <c r="Z171" s="63"/>
      <c r="AA171" s="63"/>
      <c r="AB171" s="63"/>
    </row>
    <row r="172" spans="2:28" x14ac:dyDescent="0.25">
      <c r="B172" s="59"/>
      <c r="C172" s="59"/>
      <c r="D172" s="59"/>
      <c r="E172" s="59"/>
      <c r="F172" s="59"/>
      <c r="G172" s="59"/>
      <c r="H172" s="65"/>
      <c r="I172" s="65"/>
      <c r="J172" s="59"/>
      <c r="K172" s="59"/>
      <c r="L172" s="65"/>
      <c r="M172" s="66"/>
      <c r="N172" s="66"/>
      <c r="O172" s="66"/>
      <c r="P172" s="66"/>
      <c r="Q172" s="59"/>
      <c r="S172" s="59"/>
      <c r="T172" s="59"/>
      <c r="U172" s="59"/>
      <c r="V172" s="63"/>
      <c r="W172" s="63"/>
      <c r="X172" s="63"/>
      <c r="Y172" s="63"/>
      <c r="Z172" s="63"/>
      <c r="AA172" s="63"/>
      <c r="AB172" s="63"/>
    </row>
    <row r="173" spans="2:28" x14ac:dyDescent="0.25">
      <c r="B173" s="59"/>
      <c r="C173" s="59"/>
      <c r="D173" s="59"/>
      <c r="E173" s="59"/>
      <c r="F173" s="59"/>
      <c r="G173" s="59"/>
      <c r="H173" s="65"/>
      <c r="I173" s="65"/>
      <c r="J173" s="59"/>
      <c r="K173" s="59"/>
      <c r="L173" s="65"/>
      <c r="M173" s="66"/>
      <c r="N173" s="66"/>
      <c r="O173" s="66"/>
      <c r="P173" s="66"/>
      <c r="Q173" s="59"/>
      <c r="S173" s="59"/>
      <c r="T173" s="59"/>
      <c r="U173" s="59"/>
      <c r="V173" s="63"/>
      <c r="W173" s="63"/>
      <c r="X173" s="63"/>
      <c r="Y173" s="63"/>
      <c r="Z173" s="63"/>
      <c r="AA173" s="63"/>
      <c r="AB173" s="63"/>
    </row>
    <row r="174" spans="2:28" x14ac:dyDescent="0.25">
      <c r="B174" s="59"/>
      <c r="C174" s="59"/>
      <c r="D174" s="59"/>
      <c r="E174" s="59"/>
      <c r="F174" s="59"/>
      <c r="G174" s="59"/>
      <c r="H174" s="65"/>
      <c r="I174" s="65"/>
      <c r="J174" s="59"/>
      <c r="K174" s="59"/>
      <c r="L174" s="65"/>
      <c r="M174" s="66"/>
      <c r="N174" s="66"/>
      <c r="O174" s="66"/>
      <c r="P174" s="66"/>
      <c r="Q174" s="59"/>
      <c r="S174" s="59"/>
      <c r="T174" s="59"/>
      <c r="U174" s="59"/>
      <c r="V174" s="63"/>
      <c r="W174" s="63"/>
      <c r="X174" s="63"/>
      <c r="Y174" s="63"/>
      <c r="Z174" s="63"/>
      <c r="AA174" s="63"/>
      <c r="AB174" s="63"/>
    </row>
    <row r="175" spans="2:28" x14ac:dyDescent="0.25">
      <c r="B175" s="59"/>
      <c r="C175" s="59"/>
      <c r="D175" s="59"/>
      <c r="E175" s="59"/>
      <c r="F175" s="59"/>
      <c r="G175" s="59"/>
      <c r="H175" s="65"/>
      <c r="I175" s="65"/>
      <c r="J175" s="59"/>
      <c r="K175" s="59"/>
      <c r="L175" s="65"/>
      <c r="M175" s="66"/>
      <c r="N175" s="66"/>
      <c r="O175" s="66"/>
      <c r="P175" s="66"/>
      <c r="Q175" s="59"/>
      <c r="S175" s="59"/>
      <c r="T175" s="59"/>
      <c r="U175" s="59"/>
      <c r="V175" s="63"/>
      <c r="W175" s="63"/>
      <c r="X175" s="63"/>
      <c r="Y175" s="63"/>
      <c r="Z175" s="63"/>
      <c r="AA175" s="63"/>
      <c r="AB175" s="63"/>
    </row>
    <row r="176" spans="2:28" x14ac:dyDescent="0.25">
      <c r="B176" s="59"/>
      <c r="C176" s="59"/>
      <c r="D176" s="59"/>
      <c r="E176" s="59"/>
      <c r="F176" s="59"/>
      <c r="G176" s="59"/>
      <c r="H176" s="65"/>
      <c r="I176" s="65"/>
      <c r="J176" s="59"/>
      <c r="K176" s="59"/>
      <c r="L176" s="65"/>
      <c r="M176" s="66"/>
      <c r="N176" s="66"/>
      <c r="O176" s="66"/>
      <c r="P176" s="66"/>
      <c r="Q176" s="59"/>
      <c r="S176" s="59"/>
      <c r="T176" s="59"/>
      <c r="U176" s="59"/>
      <c r="V176" s="63"/>
      <c r="W176" s="63"/>
      <c r="X176" s="63"/>
      <c r="Y176" s="63"/>
      <c r="Z176" s="63"/>
      <c r="AA176" s="63"/>
      <c r="AB176" s="63"/>
    </row>
    <row r="177" spans="2:28" x14ac:dyDescent="0.25">
      <c r="B177" s="59"/>
      <c r="C177" s="59"/>
      <c r="D177" s="59"/>
      <c r="E177" s="59"/>
      <c r="F177" s="59"/>
      <c r="G177" s="59"/>
      <c r="H177" s="65"/>
      <c r="I177" s="65"/>
      <c r="J177" s="59"/>
      <c r="K177" s="59"/>
      <c r="L177" s="65"/>
      <c r="M177" s="66"/>
      <c r="N177" s="66"/>
      <c r="O177" s="66"/>
      <c r="P177" s="66"/>
      <c r="Q177" s="59"/>
      <c r="S177" s="59"/>
      <c r="T177" s="59"/>
      <c r="U177" s="59"/>
      <c r="V177" s="63"/>
      <c r="W177" s="63"/>
      <c r="X177" s="63"/>
      <c r="Y177" s="63"/>
      <c r="Z177" s="63"/>
      <c r="AA177" s="63"/>
      <c r="AB177" s="63"/>
    </row>
    <row r="178" spans="2:28" x14ac:dyDescent="0.25">
      <c r="B178" s="59"/>
      <c r="C178" s="59"/>
      <c r="D178" s="59"/>
      <c r="E178" s="59"/>
      <c r="F178" s="59"/>
      <c r="G178" s="59"/>
      <c r="H178" s="65"/>
      <c r="I178" s="65"/>
      <c r="J178" s="59"/>
      <c r="K178" s="59"/>
      <c r="L178" s="65"/>
      <c r="M178" s="66"/>
      <c r="N178" s="66"/>
      <c r="O178" s="66"/>
      <c r="P178" s="66"/>
      <c r="Q178" s="59"/>
      <c r="S178" s="59"/>
      <c r="T178" s="59"/>
      <c r="U178" s="59"/>
      <c r="V178" s="63"/>
      <c r="W178" s="63"/>
      <c r="X178" s="63"/>
      <c r="Y178" s="63"/>
      <c r="Z178" s="63"/>
      <c r="AA178" s="63"/>
      <c r="AB178" s="63"/>
    </row>
    <row r="179" spans="2:28" x14ac:dyDescent="0.25">
      <c r="B179" s="59"/>
      <c r="C179" s="59"/>
      <c r="D179" s="59"/>
      <c r="E179" s="59"/>
      <c r="F179" s="59"/>
      <c r="G179" s="59"/>
      <c r="H179" s="65"/>
      <c r="I179" s="65"/>
      <c r="J179" s="59"/>
      <c r="K179" s="59"/>
      <c r="L179" s="65"/>
      <c r="M179" s="66"/>
      <c r="N179" s="66"/>
      <c r="O179" s="66"/>
      <c r="P179" s="66"/>
      <c r="Q179" s="59"/>
      <c r="S179" s="59"/>
      <c r="T179" s="59"/>
      <c r="U179" s="59"/>
      <c r="V179" s="63"/>
      <c r="W179" s="63"/>
      <c r="X179" s="63"/>
      <c r="Y179" s="63"/>
      <c r="Z179" s="63"/>
      <c r="AA179" s="63"/>
      <c r="AB179" s="63"/>
    </row>
    <row r="180" spans="2:28" x14ac:dyDescent="0.25">
      <c r="B180" s="59"/>
      <c r="C180" s="59"/>
      <c r="D180" s="59"/>
      <c r="E180" s="59"/>
      <c r="F180" s="59"/>
      <c r="G180" s="59"/>
      <c r="H180" s="65"/>
      <c r="I180" s="65"/>
      <c r="J180" s="59"/>
      <c r="K180" s="59"/>
      <c r="L180" s="65"/>
      <c r="M180" s="66"/>
      <c r="N180" s="66"/>
      <c r="O180" s="66"/>
      <c r="P180" s="66"/>
      <c r="Q180" s="59"/>
      <c r="S180" s="59"/>
      <c r="T180" s="59"/>
      <c r="U180" s="59"/>
      <c r="V180" s="63"/>
      <c r="W180" s="63"/>
      <c r="X180" s="63"/>
      <c r="Y180" s="63"/>
      <c r="Z180" s="63"/>
      <c r="AA180" s="63"/>
      <c r="AB180" s="63"/>
    </row>
    <row r="181" spans="2:28" x14ac:dyDescent="0.25">
      <c r="B181" s="59"/>
      <c r="C181" s="59"/>
      <c r="D181" s="59"/>
      <c r="E181" s="59"/>
      <c r="F181" s="59"/>
      <c r="G181" s="59"/>
      <c r="H181" s="65"/>
      <c r="I181" s="65"/>
      <c r="J181" s="59"/>
      <c r="K181" s="59"/>
      <c r="L181" s="65"/>
      <c r="M181" s="66"/>
      <c r="N181" s="66"/>
      <c r="O181" s="66"/>
      <c r="P181" s="66"/>
      <c r="Q181" s="59"/>
      <c r="S181" s="59"/>
      <c r="T181" s="59"/>
      <c r="U181" s="59"/>
      <c r="V181" s="63"/>
      <c r="W181" s="63"/>
      <c r="X181" s="63"/>
      <c r="Y181" s="63"/>
      <c r="Z181" s="63"/>
      <c r="AA181" s="63"/>
      <c r="AB181" s="63"/>
    </row>
    <row r="182" spans="2:28" x14ac:dyDescent="0.25">
      <c r="B182" s="59"/>
      <c r="C182" s="59"/>
      <c r="D182" s="59"/>
      <c r="E182" s="59"/>
      <c r="F182" s="59"/>
      <c r="G182" s="59"/>
      <c r="H182" s="65"/>
      <c r="I182" s="65"/>
      <c r="J182" s="59"/>
      <c r="K182" s="59"/>
      <c r="L182" s="65"/>
      <c r="M182" s="66"/>
      <c r="N182" s="66"/>
      <c r="O182" s="66"/>
      <c r="P182" s="66"/>
      <c r="Q182" s="59"/>
      <c r="S182" s="59"/>
      <c r="T182" s="59"/>
      <c r="U182" s="59"/>
      <c r="V182" s="63"/>
      <c r="W182" s="63"/>
      <c r="X182" s="63"/>
      <c r="Y182" s="63"/>
      <c r="Z182" s="63"/>
      <c r="AA182" s="63"/>
      <c r="AB182" s="63"/>
    </row>
    <row r="183" spans="2:28" x14ac:dyDescent="0.25">
      <c r="B183" s="59"/>
      <c r="C183" s="59"/>
      <c r="D183" s="59"/>
      <c r="E183" s="59"/>
      <c r="F183" s="59"/>
      <c r="G183" s="59"/>
      <c r="H183" s="65"/>
      <c r="I183" s="65"/>
      <c r="J183" s="59"/>
      <c r="K183" s="59"/>
      <c r="L183" s="65"/>
      <c r="M183" s="66"/>
      <c r="N183" s="66"/>
      <c r="O183" s="66"/>
      <c r="P183" s="66"/>
      <c r="Q183" s="59"/>
      <c r="S183" s="59"/>
      <c r="T183" s="59"/>
      <c r="U183" s="59"/>
      <c r="V183" s="63"/>
      <c r="W183" s="63"/>
      <c r="X183" s="63"/>
      <c r="Y183" s="63"/>
      <c r="Z183" s="63"/>
      <c r="AA183" s="63"/>
      <c r="AB183" s="63"/>
    </row>
    <row r="184" spans="2:28" x14ac:dyDescent="0.25">
      <c r="B184" s="59"/>
      <c r="C184" s="59"/>
      <c r="D184" s="59"/>
      <c r="E184" s="59"/>
      <c r="F184" s="59"/>
      <c r="G184" s="59"/>
      <c r="H184" s="65"/>
      <c r="I184" s="65"/>
      <c r="J184" s="59"/>
      <c r="K184" s="59"/>
      <c r="L184" s="65"/>
      <c r="M184" s="66"/>
      <c r="N184" s="66"/>
      <c r="O184" s="66"/>
      <c r="P184" s="66"/>
      <c r="Q184" s="59"/>
      <c r="S184" s="59"/>
      <c r="T184" s="59"/>
      <c r="U184" s="59"/>
      <c r="V184" s="63"/>
      <c r="W184" s="63"/>
      <c r="X184" s="63"/>
      <c r="Y184" s="63"/>
      <c r="Z184" s="63"/>
      <c r="AA184" s="63"/>
      <c r="AB184" s="63"/>
    </row>
    <row r="185" spans="2:28" x14ac:dyDescent="0.25">
      <c r="B185" s="59"/>
      <c r="C185" s="59"/>
      <c r="D185" s="59"/>
      <c r="E185" s="59"/>
      <c r="F185" s="59"/>
      <c r="G185" s="59"/>
      <c r="H185" s="65"/>
      <c r="I185" s="65"/>
      <c r="J185" s="59"/>
      <c r="K185" s="59"/>
      <c r="L185" s="65"/>
      <c r="M185" s="66"/>
      <c r="N185" s="66"/>
      <c r="O185" s="66"/>
      <c r="P185" s="66"/>
      <c r="Q185" s="59"/>
      <c r="S185" s="59"/>
      <c r="T185" s="59"/>
      <c r="U185" s="59"/>
      <c r="V185" s="63"/>
      <c r="W185" s="63"/>
      <c r="X185" s="63"/>
      <c r="Y185" s="63"/>
      <c r="Z185" s="63"/>
      <c r="AA185" s="63"/>
      <c r="AB185" s="63"/>
    </row>
    <row r="186" spans="2:28" x14ac:dyDescent="0.25">
      <c r="B186" s="59"/>
      <c r="C186" s="59"/>
      <c r="D186" s="59"/>
      <c r="E186" s="59"/>
      <c r="F186" s="59"/>
      <c r="G186" s="59"/>
      <c r="H186" s="65"/>
      <c r="I186" s="65"/>
      <c r="J186" s="59"/>
      <c r="K186" s="59"/>
      <c r="L186" s="65"/>
      <c r="M186" s="66"/>
      <c r="N186" s="66"/>
      <c r="O186" s="66"/>
      <c r="P186" s="66"/>
      <c r="Q186" s="59"/>
      <c r="S186" s="59"/>
      <c r="T186" s="59"/>
      <c r="U186" s="59"/>
      <c r="V186" s="63"/>
      <c r="W186" s="63"/>
      <c r="X186" s="63"/>
      <c r="Y186" s="63"/>
      <c r="Z186" s="63"/>
      <c r="AA186" s="63"/>
      <c r="AB186" s="63"/>
    </row>
    <row r="187" spans="2:28" x14ac:dyDescent="0.25">
      <c r="B187" s="59"/>
      <c r="C187" s="59"/>
      <c r="D187" s="59"/>
      <c r="E187" s="59"/>
      <c r="F187" s="59"/>
      <c r="G187" s="59"/>
      <c r="H187" s="65"/>
      <c r="I187" s="65"/>
      <c r="J187" s="59"/>
      <c r="K187" s="59"/>
      <c r="L187" s="65"/>
      <c r="M187" s="66"/>
      <c r="N187" s="66"/>
      <c r="O187" s="66"/>
      <c r="P187" s="66"/>
      <c r="Q187" s="59"/>
      <c r="S187" s="59"/>
      <c r="T187" s="59"/>
      <c r="U187" s="59"/>
      <c r="V187" s="63"/>
      <c r="W187" s="63"/>
      <c r="X187" s="63"/>
      <c r="Y187" s="63"/>
      <c r="Z187" s="63"/>
      <c r="AA187" s="63"/>
      <c r="AB187" s="63"/>
    </row>
    <row r="188" spans="2:28" x14ac:dyDescent="0.25">
      <c r="B188" s="59"/>
      <c r="C188" s="59"/>
      <c r="D188" s="59"/>
      <c r="E188" s="59"/>
      <c r="F188" s="59"/>
      <c r="G188" s="59"/>
      <c r="H188" s="65"/>
      <c r="I188" s="65"/>
      <c r="J188" s="59"/>
      <c r="K188" s="59"/>
      <c r="L188" s="65"/>
      <c r="M188" s="66"/>
      <c r="N188" s="66"/>
      <c r="O188" s="66"/>
      <c r="P188" s="66"/>
      <c r="Q188" s="59"/>
      <c r="S188" s="59"/>
      <c r="T188" s="59"/>
      <c r="U188" s="59"/>
      <c r="V188" s="63"/>
      <c r="W188" s="63"/>
      <c r="X188" s="63"/>
      <c r="Y188" s="63"/>
      <c r="Z188" s="63"/>
      <c r="AA188" s="63"/>
      <c r="AB188" s="63"/>
    </row>
    <row r="189" spans="2:28" x14ac:dyDescent="0.25">
      <c r="B189" s="59"/>
      <c r="C189" s="59"/>
      <c r="D189" s="59"/>
      <c r="E189" s="59"/>
      <c r="F189" s="59"/>
      <c r="G189" s="59"/>
      <c r="H189" s="65"/>
      <c r="I189" s="65"/>
      <c r="J189" s="59"/>
      <c r="K189" s="59"/>
      <c r="L189" s="65"/>
      <c r="M189" s="66"/>
      <c r="N189" s="66"/>
      <c r="O189" s="66"/>
      <c r="P189" s="66"/>
      <c r="Q189" s="59"/>
      <c r="S189" s="59"/>
      <c r="T189" s="59"/>
      <c r="U189" s="59"/>
      <c r="V189" s="63"/>
      <c r="W189" s="63"/>
      <c r="X189" s="63"/>
      <c r="Y189" s="63"/>
      <c r="Z189" s="63"/>
      <c r="AA189" s="63"/>
      <c r="AB189" s="63"/>
    </row>
    <row r="190" spans="2:28" x14ac:dyDescent="0.25">
      <c r="B190" s="59"/>
      <c r="C190" s="59"/>
      <c r="D190" s="59"/>
      <c r="E190" s="59"/>
      <c r="F190" s="59"/>
      <c r="G190" s="59"/>
      <c r="H190" s="65"/>
      <c r="I190" s="65"/>
      <c r="J190" s="59"/>
      <c r="K190" s="59"/>
      <c r="L190" s="65"/>
      <c r="M190" s="66"/>
      <c r="N190" s="66"/>
      <c r="O190" s="66"/>
      <c r="P190" s="66"/>
      <c r="Q190" s="59"/>
      <c r="S190" s="59"/>
      <c r="T190" s="59"/>
      <c r="U190" s="59"/>
      <c r="V190" s="63"/>
      <c r="W190" s="63"/>
      <c r="X190" s="63"/>
      <c r="Y190" s="63"/>
      <c r="Z190" s="63"/>
      <c r="AA190" s="63"/>
      <c r="AB190" s="63"/>
    </row>
    <row r="191" spans="2:28" x14ac:dyDescent="0.25">
      <c r="B191" s="59"/>
      <c r="C191" s="59"/>
      <c r="D191" s="59"/>
      <c r="E191" s="59"/>
      <c r="F191" s="59"/>
      <c r="G191" s="59"/>
      <c r="H191" s="65"/>
      <c r="I191" s="65"/>
      <c r="J191" s="59"/>
      <c r="K191" s="59"/>
      <c r="L191" s="65"/>
      <c r="M191" s="66"/>
      <c r="N191" s="66"/>
      <c r="O191" s="66"/>
      <c r="P191" s="66"/>
      <c r="Q191" s="59"/>
      <c r="S191" s="59"/>
      <c r="T191" s="59"/>
      <c r="U191" s="59"/>
      <c r="V191" s="63"/>
      <c r="W191" s="63"/>
      <c r="X191" s="63"/>
      <c r="Y191" s="63"/>
      <c r="Z191" s="63"/>
      <c r="AA191" s="63"/>
      <c r="AB191" s="63"/>
    </row>
    <row r="192" spans="2:28" x14ac:dyDescent="0.25">
      <c r="B192" s="59"/>
      <c r="C192" s="59"/>
      <c r="D192" s="59"/>
      <c r="E192" s="59"/>
      <c r="F192" s="59"/>
      <c r="G192" s="59"/>
      <c r="H192" s="65"/>
      <c r="I192" s="65"/>
      <c r="J192" s="59"/>
      <c r="K192" s="59"/>
      <c r="L192" s="65"/>
      <c r="M192" s="66"/>
      <c r="N192" s="66"/>
      <c r="O192" s="66"/>
      <c r="P192" s="66"/>
      <c r="Q192" s="59"/>
      <c r="S192" s="59"/>
      <c r="T192" s="59"/>
      <c r="U192" s="59"/>
      <c r="V192" s="63"/>
      <c r="W192" s="63"/>
      <c r="X192" s="63"/>
      <c r="Y192" s="63"/>
      <c r="Z192" s="63"/>
      <c r="AA192" s="63"/>
      <c r="AB192" s="63"/>
    </row>
    <row r="193" spans="2:28" x14ac:dyDescent="0.25">
      <c r="B193" s="59"/>
      <c r="C193" s="59"/>
      <c r="D193" s="59"/>
      <c r="E193" s="59"/>
      <c r="F193" s="59"/>
      <c r="G193" s="59"/>
      <c r="H193" s="65"/>
      <c r="I193" s="65"/>
      <c r="J193" s="59"/>
      <c r="K193" s="59"/>
      <c r="L193" s="65"/>
      <c r="M193" s="66"/>
      <c r="N193" s="66"/>
      <c r="O193" s="66"/>
      <c r="P193" s="66"/>
      <c r="Q193" s="59"/>
      <c r="S193" s="59"/>
      <c r="T193" s="59"/>
      <c r="U193" s="59"/>
      <c r="V193" s="63"/>
      <c r="W193" s="63"/>
      <c r="X193" s="63"/>
      <c r="Y193" s="63"/>
      <c r="Z193" s="63"/>
      <c r="AA193" s="63"/>
      <c r="AB193" s="63"/>
    </row>
    <row r="194" spans="2:28" x14ac:dyDescent="0.25">
      <c r="B194" s="59"/>
      <c r="C194" s="59"/>
      <c r="D194" s="59"/>
      <c r="E194" s="59"/>
      <c r="F194" s="59"/>
      <c r="G194" s="59"/>
      <c r="H194" s="65"/>
      <c r="I194" s="65"/>
      <c r="J194" s="59"/>
      <c r="K194" s="59"/>
      <c r="L194" s="65"/>
      <c r="M194" s="66"/>
      <c r="N194" s="66"/>
      <c r="O194" s="66"/>
      <c r="P194" s="66"/>
      <c r="Q194" s="59"/>
      <c r="S194" s="59"/>
      <c r="T194" s="59"/>
      <c r="U194" s="59"/>
      <c r="V194" s="63"/>
      <c r="W194" s="63"/>
      <c r="X194" s="63"/>
      <c r="Y194" s="63"/>
      <c r="Z194" s="63"/>
      <c r="AA194" s="63"/>
      <c r="AB194" s="63"/>
    </row>
    <row r="195" spans="2:28" x14ac:dyDescent="0.25">
      <c r="B195" s="59"/>
      <c r="C195" s="59"/>
      <c r="D195" s="59"/>
      <c r="E195" s="59"/>
      <c r="F195" s="59"/>
      <c r="G195" s="59"/>
      <c r="H195" s="65"/>
      <c r="I195" s="65"/>
      <c r="J195" s="59"/>
      <c r="K195" s="59"/>
      <c r="L195" s="65"/>
      <c r="M195" s="66"/>
      <c r="N195" s="66"/>
      <c r="O195" s="66"/>
      <c r="P195" s="66"/>
      <c r="Q195" s="59"/>
      <c r="S195" s="59"/>
      <c r="T195" s="59"/>
      <c r="U195" s="59"/>
      <c r="V195" s="63"/>
      <c r="W195" s="63"/>
      <c r="X195" s="63"/>
      <c r="Y195" s="63"/>
      <c r="Z195" s="63"/>
      <c r="AA195" s="63"/>
      <c r="AB195" s="63"/>
    </row>
    <row r="196" spans="2:28" x14ac:dyDescent="0.25">
      <c r="B196" s="59"/>
      <c r="C196" s="59"/>
      <c r="D196" s="59"/>
      <c r="E196" s="59"/>
      <c r="F196" s="59"/>
      <c r="G196" s="59"/>
      <c r="H196" s="65"/>
      <c r="I196" s="65"/>
      <c r="J196" s="59"/>
      <c r="K196" s="59"/>
      <c r="L196" s="65"/>
      <c r="M196" s="66"/>
      <c r="N196" s="66"/>
      <c r="O196" s="66"/>
      <c r="P196" s="66"/>
      <c r="Q196" s="59"/>
      <c r="S196" s="59"/>
      <c r="T196" s="59"/>
      <c r="U196" s="59"/>
      <c r="V196" s="63"/>
      <c r="W196" s="63"/>
      <c r="X196" s="63"/>
      <c r="Y196" s="63"/>
      <c r="Z196" s="63"/>
      <c r="AA196" s="63"/>
      <c r="AB196" s="63"/>
    </row>
    <row r="197" spans="2:28" x14ac:dyDescent="0.25">
      <c r="B197" s="59"/>
      <c r="C197" s="59"/>
      <c r="D197" s="59"/>
      <c r="E197" s="59"/>
      <c r="F197" s="59"/>
      <c r="G197" s="59"/>
      <c r="H197" s="65"/>
      <c r="I197" s="65"/>
      <c r="J197" s="59"/>
      <c r="K197" s="59"/>
      <c r="L197" s="65"/>
      <c r="M197" s="66"/>
      <c r="N197" s="66"/>
      <c r="O197" s="66"/>
      <c r="P197" s="66"/>
      <c r="Q197" s="59"/>
      <c r="S197" s="59"/>
      <c r="T197" s="59"/>
      <c r="U197" s="59"/>
      <c r="V197" s="63"/>
      <c r="W197" s="63"/>
      <c r="X197" s="63"/>
      <c r="Y197" s="63"/>
      <c r="Z197" s="63"/>
      <c r="AA197" s="63"/>
      <c r="AB197" s="63"/>
    </row>
    <row r="198" spans="2:28" x14ac:dyDescent="0.25">
      <c r="B198" s="59"/>
      <c r="C198" s="59"/>
      <c r="D198" s="59"/>
      <c r="E198" s="59"/>
      <c r="F198" s="59"/>
      <c r="G198" s="59"/>
      <c r="H198" s="65"/>
      <c r="I198" s="65"/>
      <c r="J198" s="59"/>
      <c r="K198" s="59"/>
      <c r="L198" s="65"/>
      <c r="M198" s="66"/>
      <c r="N198" s="66"/>
      <c r="O198" s="66"/>
      <c r="P198" s="66"/>
      <c r="Q198" s="59"/>
      <c r="S198" s="59"/>
      <c r="T198" s="59"/>
      <c r="U198" s="59"/>
      <c r="V198" s="63"/>
      <c r="W198" s="63"/>
      <c r="X198" s="63"/>
      <c r="Y198" s="63"/>
      <c r="Z198" s="63"/>
      <c r="AA198" s="63"/>
      <c r="AB198" s="63"/>
    </row>
    <row r="199" spans="2:28" x14ac:dyDescent="0.25">
      <c r="B199" s="59"/>
      <c r="C199" s="59"/>
      <c r="D199" s="59"/>
      <c r="E199" s="59"/>
      <c r="F199" s="59"/>
      <c r="G199" s="59"/>
      <c r="H199" s="65"/>
      <c r="I199" s="65"/>
      <c r="J199" s="59"/>
      <c r="K199" s="59"/>
      <c r="L199" s="65"/>
      <c r="M199" s="66"/>
      <c r="N199" s="66"/>
      <c r="O199" s="66"/>
      <c r="P199" s="66"/>
      <c r="Q199" s="59"/>
      <c r="S199" s="59"/>
      <c r="T199" s="59"/>
      <c r="U199" s="59"/>
      <c r="V199" s="63"/>
      <c r="W199" s="63"/>
      <c r="X199" s="63"/>
      <c r="Y199" s="63"/>
      <c r="Z199" s="63"/>
      <c r="AA199" s="63"/>
      <c r="AB199" s="63"/>
    </row>
    <row r="200" spans="2:28" x14ac:dyDescent="0.25">
      <c r="B200" s="59"/>
      <c r="C200" s="59"/>
      <c r="D200" s="59"/>
      <c r="E200" s="59"/>
      <c r="F200" s="59"/>
      <c r="G200" s="59"/>
      <c r="H200" s="65"/>
      <c r="I200" s="65"/>
      <c r="J200" s="59"/>
      <c r="K200" s="59"/>
      <c r="L200" s="65"/>
      <c r="M200" s="66"/>
      <c r="N200" s="66"/>
      <c r="O200" s="66"/>
      <c r="P200" s="66"/>
      <c r="Q200" s="59"/>
      <c r="S200" s="59"/>
      <c r="T200" s="59"/>
      <c r="U200" s="59"/>
      <c r="V200" s="63"/>
      <c r="W200" s="63"/>
      <c r="X200" s="63"/>
      <c r="Y200" s="63"/>
      <c r="Z200" s="63"/>
      <c r="AA200" s="63"/>
      <c r="AB200" s="63"/>
    </row>
    <row r="201" spans="2:28" x14ac:dyDescent="0.25">
      <c r="B201" s="59"/>
      <c r="C201" s="59"/>
      <c r="D201" s="59"/>
      <c r="E201" s="59"/>
      <c r="F201" s="59"/>
      <c r="G201" s="59"/>
      <c r="H201" s="65"/>
      <c r="I201" s="65"/>
      <c r="J201" s="59"/>
      <c r="K201" s="59"/>
      <c r="L201" s="65"/>
      <c r="M201" s="66"/>
      <c r="N201" s="66"/>
      <c r="O201" s="66"/>
      <c r="P201" s="66"/>
      <c r="Q201" s="59"/>
      <c r="S201" s="59"/>
      <c r="T201" s="59"/>
      <c r="U201" s="59"/>
      <c r="V201" s="63"/>
      <c r="W201" s="63"/>
      <c r="X201" s="63"/>
      <c r="Y201" s="63"/>
      <c r="Z201" s="63"/>
      <c r="AA201" s="63"/>
      <c r="AB201" s="63"/>
    </row>
    <row r="202" spans="2:28" x14ac:dyDescent="0.25">
      <c r="B202" s="59"/>
      <c r="C202" s="59"/>
      <c r="D202" s="59"/>
      <c r="E202" s="59"/>
      <c r="F202" s="59"/>
      <c r="G202" s="59"/>
      <c r="H202" s="65"/>
      <c r="I202" s="65"/>
      <c r="J202" s="59"/>
      <c r="K202" s="59"/>
      <c r="L202" s="65"/>
      <c r="M202" s="66"/>
      <c r="N202" s="66"/>
      <c r="O202" s="66"/>
      <c r="P202" s="66"/>
      <c r="Q202" s="59"/>
      <c r="S202" s="59"/>
      <c r="T202" s="59"/>
      <c r="U202" s="59"/>
      <c r="V202" s="63"/>
      <c r="W202" s="63"/>
      <c r="X202" s="63"/>
      <c r="Y202" s="63"/>
      <c r="Z202" s="63"/>
      <c r="AA202" s="63"/>
      <c r="AB202" s="63"/>
    </row>
    <row r="203" spans="2:28" x14ac:dyDescent="0.25">
      <c r="B203" s="59"/>
      <c r="C203" s="59"/>
      <c r="D203" s="59"/>
      <c r="E203" s="59"/>
      <c r="F203" s="59"/>
      <c r="G203" s="59"/>
      <c r="H203" s="65"/>
      <c r="I203" s="65"/>
      <c r="J203" s="59"/>
      <c r="K203" s="59"/>
      <c r="L203" s="65"/>
      <c r="M203" s="66"/>
      <c r="N203" s="66"/>
      <c r="O203" s="66"/>
      <c r="P203" s="66"/>
      <c r="Q203" s="59"/>
      <c r="S203" s="59"/>
      <c r="T203" s="59"/>
      <c r="U203" s="59"/>
      <c r="V203" s="63"/>
      <c r="W203" s="63"/>
      <c r="X203" s="63"/>
      <c r="Y203" s="63"/>
      <c r="Z203" s="63"/>
      <c r="AA203" s="63"/>
      <c r="AB203" s="63"/>
    </row>
    <row r="204" spans="2:28" x14ac:dyDescent="0.25">
      <c r="B204" s="59"/>
      <c r="C204" s="59"/>
      <c r="D204" s="59"/>
      <c r="E204" s="59"/>
      <c r="F204" s="59"/>
      <c r="G204" s="59"/>
      <c r="H204" s="65"/>
      <c r="I204" s="65"/>
      <c r="J204" s="59"/>
      <c r="K204" s="59"/>
      <c r="L204" s="65"/>
      <c r="M204" s="66"/>
      <c r="N204" s="66"/>
      <c r="O204" s="66"/>
      <c r="P204" s="66"/>
      <c r="Q204" s="59"/>
      <c r="S204" s="59"/>
      <c r="T204" s="59"/>
      <c r="U204" s="59"/>
      <c r="V204" s="63"/>
      <c r="W204" s="63"/>
      <c r="X204" s="63"/>
      <c r="Y204" s="63"/>
      <c r="Z204" s="63"/>
      <c r="AA204" s="63"/>
      <c r="AB204" s="63"/>
    </row>
    <row r="205" spans="2:28" x14ac:dyDescent="0.25">
      <c r="B205" s="59"/>
      <c r="C205" s="59"/>
      <c r="D205" s="59"/>
      <c r="E205" s="59"/>
      <c r="F205" s="59"/>
      <c r="G205" s="59"/>
      <c r="H205" s="65"/>
      <c r="I205" s="65"/>
      <c r="J205" s="59"/>
      <c r="K205" s="59"/>
      <c r="L205" s="65"/>
      <c r="M205" s="66"/>
      <c r="N205" s="66"/>
      <c r="O205" s="66"/>
      <c r="P205" s="66"/>
      <c r="Q205" s="59"/>
      <c r="S205" s="59"/>
      <c r="T205" s="59"/>
      <c r="U205" s="59"/>
      <c r="V205" s="63"/>
      <c r="W205" s="63"/>
      <c r="X205" s="63"/>
      <c r="Y205" s="63"/>
      <c r="Z205" s="63"/>
      <c r="AA205" s="63"/>
      <c r="AB205" s="63"/>
    </row>
    <row r="206" spans="2:28" x14ac:dyDescent="0.25">
      <c r="B206" s="59"/>
      <c r="C206" s="59"/>
      <c r="D206" s="59"/>
      <c r="E206" s="59"/>
      <c r="F206" s="59"/>
      <c r="G206" s="59"/>
      <c r="H206" s="65"/>
      <c r="I206" s="65"/>
      <c r="J206" s="59"/>
      <c r="K206" s="59"/>
      <c r="L206" s="65"/>
      <c r="M206" s="66"/>
      <c r="N206" s="66"/>
      <c r="O206" s="66"/>
      <c r="P206" s="66"/>
      <c r="Q206" s="59"/>
      <c r="S206" s="59"/>
      <c r="T206" s="59"/>
      <c r="U206" s="59"/>
      <c r="V206" s="63"/>
      <c r="W206" s="63"/>
      <c r="X206" s="63"/>
      <c r="Y206" s="63"/>
      <c r="Z206" s="63"/>
      <c r="AA206" s="63"/>
      <c r="AB206" s="63"/>
    </row>
    <row r="207" spans="2:28" x14ac:dyDescent="0.25">
      <c r="B207" s="59"/>
      <c r="C207" s="59"/>
      <c r="D207" s="59"/>
      <c r="E207" s="59"/>
      <c r="F207" s="59"/>
      <c r="G207" s="59"/>
      <c r="H207" s="65"/>
      <c r="I207" s="65"/>
      <c r="J207" s="59"/>
      <c r="K207" s="59"/>
      <c r="L207" s="65"/>
      <c r="M207" s="66"/>
      <c r="N207" s="66"/>
      <c r="O207" s="66"/>
      <c r="P207" s="66"/>
      <c r="Q207" s="59"/>
      <c r="S207" s="59"/>
      <c r="T207" s="59"/>
      <c r="U207" s="59"/>
      <c r="V207" s="63"/>
      <c r="W207" s="63"/>
      <c r="X207" s="63"/>
      <c r="Y207" s="63"/>
      <c r="Z207" s="63"/>
      <c r="AA207" s="63"/>
      <c r="AB207" s="63"/>
    </row>
    <row r="208" spans="2:28" x14ac:dyDescent="0.25">
      <c r="B208" s="59"/>
      <c r="C208" s="59"/>
      <c r="D208" s="59"/>
      <c r="E208" s="59"/>
      <c r="F208" s="59"/>
      <c r="G208" s="59"/>
      <c r="H208" s="65"/>
      <c r="I208" s="65"/>
      <c r="J208" s="59"/>
      <c r="K208" s="59"/>
      <c r="L208" s="65"/>
      <c r="M208" s="66"/>
      <c r="N208" s="66"/>
      <c r="O208" s="66"/>
      <c r="P208" s="66"/>
      <c r="Q208" s="59"/>
      <c r="S208" s="59"/>
      <c r="T208" s="59"/>
      <c r="U208" s="59"/>
      <c r="V208" s="63"/>
      <c r="W208" s="63"/>
      <c r="X208" s="63"/>
      <c r="Y208" s="63"/>
      <c r="Z208" s="63"/>
      <c r="AA208" s="63"/>
      <c r="AB208" s="63"/>
    </row>
    <row r="209" spans="2:28" x14ac:dyDescent="0.25">
      <c r="B209" s="59"/>
      <c r="C209" s="59"/>
      <c r="D209" s="59"/>
      <c r="E209" s="59"/>
      <c r="F209" s="59"/>
      <c r="G209" s="59"/>
      <c r="H209" s="65"/>
      <c r="I209" s="65"/>
      <c r="J209" s="59"/>
      <c r="K209" s="59"/>
      <c r="L209" s="65"/>
      <c r="M209" s="66"/>
      <c r="N209" s="66"/>
      <c r="O209" s="66"/>
      <c r="P209" s="66"/>
      <c r="Q209" s="59"/>
      <c r="S209" s="59"/>
      <c r="T209" s="59"/>
      <c r="U209" s="59"/>
      <c r="V209" s="63"/>
      <c r="W209" s="63"/>
      <c r="X209" s="63"/>
      <c r="Y209" s="63"/>
      <c r="Z209" s="63"/>
      <c r="AA209" s="63"/>
      <c r="AB209" s="63"/>
    </row>
    <row r="210" spans="2:28" x14ac:dyDescent="0.25">
      <c r="B210" s="59"/>
      <c r="C210" s="59"/>
      <c r="D210" s="59"/>
      <c r="E210" s="59"/>
      <c r="F210" s="59"/>
      <c r="G210" s="59"/>
      <c r="H210" s="65"/>
      <c r="I210" s="65"/>
      <c r="J210" s="59"/>
      <c r="K210" s="59"/>
      <c r="L210" s="65"/>
      <c r="M210" s="66"/>
      <c r="N210" s="66"/>
      <c r="O210" s="66"/>
      <c r="P210" s="66"/>
      <c r="Q210" s="59"/>
      <c r="S210" s="59"/>
      <c r="T210" s="59"/>
      <c r="U210" s="59"/>
      <c r="V210" s="63"/>
      <c r="W210" s="63"/>
      <c r="X210" s="63"/>
      <c r="Y210" s="63"/>
      <c r="Z210" s="63"/>
      <c r="AA210" s="63"/>
      <c r="AB210" s="63"/>
    </row>
    <row r="211" spans="2:28" x14ac:dyDescent="0.25">
      <c r="B211" s="59"/>
      <c r="C211" s="59"/>
      <c r="D211" s="59"/>
      <c r="E211" s="59"/>
      <c r="F211" s="59"/>
      <c r="G211" s="59"/>
      <c r="H211" s="65"/>
      <c r="I211" s="65"/>
      <c r="J211" s="59"/>
      <c r="K211" s="59"/>
      <c r="L211" s="65"/>
      <c r="M211" s="66"/>
      <c r="N211" s="66"/>
      <c r="O211" s="66"/>
      <c r="P211" s="66"/>
      <c r="Q211" s="59"/>
      <c r="S211" s="59"/>
      <c r="T211" s="59"/>
      <c r="U211" s="59"/>
      <c r="V211" s="63"/>
      <c r="W211" s="63"/>
      <c r="X211" s="63"/>
      <c r="Y211" s="63"/>
      <c r="Z211" s="63"/>
      <c r="AA211" s="63"/>
      <c r="AB211" s="63"/>
    </row>
    <row r="212" spans="2:28" x14ac:dyDescent="0.25">
      <c r="B212" s="59"/>
      <c r="C212" s="59"/>
      <c r="D212" s="59"/>
      <c r="E212" s="59"/>
      <c r="F212" s="59"/>
      <c r="G212" s="59"/>
      <c r="H212" s="65"/>
      <c r="I212" s="65"/>
      <c r="J212" s="59"/>
      <c r="K212" s="59"/>
      <c r="L212" s="65"/>
      <c r="M212" s="66"/>
      <c r="N212" s="66"/>
      <c r="O212" s="66"/>
      <c r="P212" s="66"/>
      <c r="Q212" s="59"/>
      <c r="S212" s="59"/>
      <c r="T212" s="59"/>
      <c r="U212" s="59"/>
      <c r="V212" s="63"/>
      <c r="W212" s="63"/>
      <c r="X212" s="63"/>
      <c r="Y212" s="63"/>
      <c r="Z212" s="63"/>
      <c r="AA212" s="63"/>
      <c r="AB212" s="63"/>
    </row>
    <row r="213" spans="2:28" x14ac:dyDescent="0.25">
      <c r="B213" s="59"/>
      <c r="C213" s="59"/>
      <c r="D213" s="59"/>
      <c r="E213" s="59"/>
      <c r="F213" s="59"/>
      <c r="G213" s="59"/>
      <c r="H213" s="65"/>
      <c r="I213" s="65"/>
      <c r="J213" s="59"/>
      <c r="K213" s="59"/>
      <c r="L213" s="65"/>
      <c r="M213" s="66"/>
      <c r="N213" s="66"/>
      <c r="O213" s="66"/>
      <c r="P213" s="66"/>
      <c r="Q213" s="59"/>
      <c r="S213" s="59"/>
      <c r="T213" s="59"/>
      <c r="U213" s="59"/>
      <c r="V213" s="63"/>
      <c r="W213" s="63"/>
      <c r="X213" s="63"/>
      <c r="Y213" s="63"/>
      <c r="Z213" s="63"/>
      <c r="AA213" s="63"/>
      <c r="AB213" s="63"/>
    </row>
    <row r="214" spans="2:28" x14ac:dyDescent="0.25">
      <c r="B214" s="59"/>
      <c r="C214" s="59"/>
      <c r="D214" s="59"/>
      <c r="E214" s="59"/>
      <c r="F214" s="59"/>
      <c r="G214" s="59"/>
      <c r="H214" s="65"/>
      <c r="I214" s="65"/>
      <c r="J214" s="59"/>
      <c r="K214" s="59"/>
      <c r="L214" s="65"/>
      <c r="M214" s="66"/>
      <c r="N214" s="66"/>
      <c r="O214" s="66"/>
      <c r="P214" s="66"/>
      <c r="Q214" s="59"/>
      <c r="S214" s="59"/>
      <c r="T214" s="59"/>
      <c r="U214" s="59"/>
      <c r="V214" s="63"/>
      <c r="W214" s="63"/>
      <c r="X214" s="63"/>
      <c r="Y214" s="63"/>
      <c r="Z214" s="63"/>
      <c r="AA214" s="63"/>
      <c r="AB214" s="63"/>
    </row>
    <row r="215" spans="2:28" x14ac:dyDescent="0.25">
      <c r="B215" s="59"/>
      <c r="C215" s="59"/>
      <c r="D215" s="59"/>
      <c r="E215" s="59"/>
      <c r="F215" s="59"/>
      <c r="G215" s="59"/>
      <c r="H215" s="65"/>
      <c r="I215" s="65"/>
      <c r="J215" s="59"/>
      <c r="K215" s="59"/>
      <c r="L215" s="65"/>
      <c r="M215" s="66"/>
      <c r="N215" s="66"/>
      <c r="O215" s="66"/>
      <c r="P215" s="66"/>
      <c r="Q215" s="59"/>
      <c r="S215" s="59"/>
      <c r="T215" s="59"/>
      <c r="U215" s="59"/>
      <c r="V215" s="63"/>
      <c r="W215" s="63"/>
      <c r="X215" s="63"/>
      <c r="Y215" s="63"/>
      <c r="Z215" s="63"/>
      <c r="AA215" s="63"/>
      <c r="AB215" s="63"/>
    </row>
    <row r="216" spans="2:28" x14ac:dyDescent="0.25">
      <c r="B216" s="59"/>
      <c r="C216" s="59"/>
      <c r="D216" s="59"/>
      <c r="E216" s="59"/>
      <c r="F216" s="59"/>
      <c r="G216" s="59"/>
      <c r="H216" s="65"/>
      <c r="I216" s="65"/>
      <c r="J216" s="59"/>
      <c r="K216" s="59"/>
      <c r="L216" s="65"/>
      <c r="M216" s="66"/>
      <c r="N216" s="66"/>
      <c r="O216" s="66"/>
      <c r="P216" s="66"/>
      <c r="Q216" s="59"/>
      <c r="S216" s="59"/>
      <c r="T216" s="59"/>
      <c r="U216" s="59"/>
      <c r="V216" s="63"/>
      <c r="W216" s="63"/>
      <c r="X216" s="63"/>
      <c r="Y216" s="63"/>
      <c r="Z216" s="63"/>
      <c r="AA216" s="63"/>
      <c r="AB216" s="63"/>
    </row>
    <row r="217" spans="2:28" x14ac:dyDescent="0.25">
      <c r="B217" s="59"/>
      <c r="C217" s="59"/>
      <c r="D217" s="59"/>
      <c r="E217" s="59"/>
      <c r="F217" s="59"/>
      <c r="G217" s="59"/>
      <c r="H217" s="65"/>
      <c r="I217" s="65"/>
      <c r="J217" s="59"/>
      <c r="K217" s="59"/>
      <c r="L217" s="65"/>
      <c r="M217" s="66"/>
      <c r="N217" s="66"/>
      <c r="O217" s="66"/>
      <c r="P217" s="66"/>
      <c r="Q217" s="59"/>
      <c r="S217" s="59"/>
      <c r="T217" s="59"/>
      <c r="U217" s="59"/>
      <c r="V217" s="63"/>
      <c r="W217" s="63"/>
      <c r="X217" s="63"/>
      <c r="Y217" s="63"/>
      <c r="Z217" s="63"/>
      <c r="AA217" s="63"/>
      <c r="AB217" s="63"/>
    </row>
    <row r="218" spans="2:28" x14ac:dyDescent="0.25">
      <c r="B218" s="59"/>
      <c r="C218" s="59"/>
      <c r="D218" s="59"/>
      <c r="E218" s="59"/>
      <c r="F218" s="59"/>
      <c r="G218" s="59"/>
      <c r="H218" s="65"/>
      <c r="I218" s="65"/>
      <c r="J218" s="59"/>
      <c r="K218" s="59"/>
      <c r="L218" s="65"/>
      <c r="M218" s="66"/>
      <c r="N218" s="66"/>
      <c r="O218" s="66"/>
      <c r="P218" s="66"/>
      <c r="Q218" s="59"/>
      <c r="S218" s="59"/>
      <c r="T218" s="59"/>
      <c r="U218" s="59"/>
      <c r="V218" s="63"/>
      <c r="W218" s="63"/>
      <c r="X218" s="63"/>
      <c r="Y218" s="63"/>
      <c r="Z218" s="63"/>
      <c r="AA218" s="63"/>
      <c r="AB218" s="63"/>
    </row>
    <row r="219" spans="2:28" x14ac:dyDescent="0.25">
      <c r="B219" s="59"/>
      <c r="C219" s="59"/>
      <c r="D219" s="59"/>
      <c r="E219" s="59"/>
      <c r="F219" s="59"/>
      <c r="G219" s="59"/>
      <c r="H219" s="65"/>
      <c r="I219" s="65"/>
      <c r="J219" s="59"/>
      <c r="K219" s="59"/>
      <c r="L219" s="65"/>
      <c r="M219" s="66"/>
      <c r="N219" s="66"/>
      <c r="O219" s="66"/>
      <c r="P219" s="66"/>
      <c r="Q219" s="59"/>
      <c r="S219" s="59"/>
      <c r="T219" s="59"/>
      <c r="U219" s="59"/>
      <c r="V219" s="63"/>
      <c r="W219" s="63"/>
      <c r="X219" s="63"/>
      <c r="Y219" s="63"/>
      <c r="Z219" s="63"/>
      <c r="AA219" s="63"/>
      <c r="AB219" s="63"/>
    </row>
    <row r="220" spans="2:28" x14ac:dyDescent="0.25">
      <c r="B220" s="59"/>
      <c r="C220" s="59"/>
      <c r="D220" s="59"/>
      <c r="E220" s="59"/>
      <c r="F220" s="59"/>
      <c r="G220" s="59"/>
      <c r="H220" s="65"/>
      <c r="I220" s="65"/>
      <c r="J220" s="59"/>
      <c r="K220" s="59"/>
      <c r="L220" s="65"/>
      <c r="M220" s="66"/>
      <c r="N220" s="66"/>
      <c r="O220" s="66"/>
      <c r="P220" s="66"/>
      <c r="Q220" s="59"/>
      <c r="S220" s="59"/>
      <c r="T220" s="59"/>
      <c r="U220" s="59"/>
      <c r="V220" s="63"/>
      <c r="W220" s="63"/>
      <c r="X220" s="63"/>
      <c r="Y220" s="63"/>
      <c r="Z220" s="63"/>
      <c r="AA220" s="63"/>
      <c r="AB220" s="63"/>
    </row>
    <row r="221" spans="2:28" x14ac:dyDescent="0.25">
      <c r="B221" s="59"/>
      <c r="C221" s="59"/>
      <c r="D221" s="59"/>
      <c r="E221" s="59"/>
      <c r="F221" s="59"/>
      <c r="G221" s="59"/>
      <c r="H221" s="65"/>
      <c r="I221" s="65"/>
      <c r="J221" s="59"/>
      <c r="K221" s="59"/>
      <c r="L221" s="65"/>
      <c r="M221" s="66"/>
      <c r="N221" s="66"/>
      <c r="O221" s="66"/>
      <c r="P221" s="66"/>
      <c r="Q221" s="59"/>
      <c r="S221" s="59"/>
      <c r="T221" s="59"/>
      <c r="U221" s="59"/>
      <c r="V221" s="63"/>
      <c r="W221" s="63"/>
      <c r="X221" s="63"/>
      <c r="Y221" s="63"/>
      <c r="Z221" s="63"/>
      <c r="AA221" s="63"/>
      <c r="AB221" s="63"/>
    </row>
    <row r="222" spans="2:28" x14ac:dyDescent="0.25">
      <c r="B222" s="59"/>
      <c r="C222" s="59"/>
      <c r="D222" s="59"/>
      <c r="E222" s="59"/>
      <c r="F222" s="59"/>
      <c r="G222" s="59"/>
      <c r="H222" s="65"/>
      <c r="I222" s="65"/>
      <c r="J222" s="59"/>
      <c r="K222" s="59"/>
      <c r="L222" s="65"/>
      <c r="M222" s="66"/>
      <c r="N222" s="66"/>
      <c r="O222" s="66"/>
      <c r="P222" s="66"/>
      <c r="Q222" s="59"/>
      <c r="S222" s="59"/>
      <c r="T222" s="59"/>
      <c r="U222" s="59"/>
      <c r="V222" s="63"/>
      <c r="W222" s="63"/>
      <c r="X222" s="63"/>
      <c r="Y222" s="63"/>
      <c r="Z222" s="63"/>
      <c r="AA222" s="63"/>
      <c r="AB222" s="63"/>
    </row>
    <row r="223" spans="2:28" x14ac:dyDescent="0.25">
      <c r="B223" s="59"/>
      <c r="C223" s="59"/>
      <c r="D223" s="59"/>
      <c r="E223" s="59"/>
      <c r="F223" s="59"/>
      <c r="G223" s="59"/>
      <c r="H223" s="65"/>
      <c r="I223" s="65"/>
      <c r="J223" s="59"/>
      <c r="K223" s="59"/>
      <c r="L223" s="65"/>
      <c r="M223" s="66"/>
      <c r="N223" s="66"/>
      <c r="O223" s="66"/>
      <c r="P223" s="66"/>
      <c r="Q223" s="59"/>
      <c r="S223" s="59"/>
      <c r="T223" s="59"/>
      <c r="U223" s="59"/>
      <c r="V223" s="63"/>
      <c r="W223" s="63"/>
      <c r="X223" s="63"/>
      <c r="Y223" s="63"/>
      <c r="Z223" s="63"/>
      <c r="AA223" s="63"/>
      <c r="AB223" s="63"/>
    </row>
    <row r="224" spans="2:28" x14ac:dyDescent="0.25">
      <c r="B224" s="59"/>
      <c r="C224" s="59"/>
      <c r="D224" s="59"/>
      <c r="E224" s="59"/>
      <c r="F224" s="59"/>
      <c r="G224" s="59"/>
      <c r="H224" s="65"/>
      <c r="I224" s="65"/>
      <c r="J224" s="59"/>
      <c r="K224" s="59"/>
      <c r="L224" s="65"/>
      <c r="M224" s="66"/>
      <c r="N224" s="66"/>
      <c r="O224" s="66"/>
      <c r="P224" s="66"/>
      <c r="Q224" s="59"/>
      <c r="S224" s="59"/>
      <c r="T224" s="59"/>
      <c r="U224" s="59"/>
      <c r="V224" s="63"/>
      <c r="W224" s="63"/>
      <c r="X224" s="63"/>
      <c r="Y224" s="63"/>
      <c r="Z224" s="63"/>
      <c r="AA224" s="63"/>
      <c r="AB224" s="63"/>
    </row>
    <row r="225" spans="2:28" x14ac:dyDescent="0.25">
      <c r="B225" s="59"/>
      <c r="C225" s="59"/>
      <c r="D225" s="59"/>
      <c r="E225" s="59"/>
      <c r="F225" s="59"/>
      <c r="G225" s="59"/>
      <c r="H225" s="65"/>
      <c r="I225" s="65"/>
      <c r="J225" s="59"/>
      <c r="K225" s="59"/>
      <c r="L225" s="65"/>
      <c r="M225" s="66"/>
      <c r="N225" s="66"/>
      <c r="O225" s="66"/>
      <c r="P225" s="66"/>
      <c r="Q225" s="59"/>
      <c r="S225" s="59"/>
      <c r="T225" s="59"/>
      <c r="U225" s="59"/>
      <c r="V225" s="63"/>
      <c r="W225" s="63"/>
      <c r="X225" s="63"/>
      <c r="Y225" s="63"/>
      <c r="Z225" s="63"/>
      <c r="AA225" s="63"/>
      <c r="AB225" s="63"/>
    </row>
    <row r="226" spans="2:28" x14ac:dyDescent="0.25">
      <c r="B226" s="59"/>
      <c r="C226" s="59"/>
      <c r="D226" s="59"/>
      <c r="E226" s="59"/>
      <c r="F226" s="59"/>
      <c r="G226" s="59"/>
      <c r="H226" s="65"/>
      <c r="I226" s="65"/>
      <c r="J226" s="59"/>
      <c r="K226" s="59"/>
      <c r="L226" s="65"/>
      <c r="M226" s="66"/>
      <c r="N226" s="66"/>
      <c r="O226" s="66"/>
      <c r="P226" s="66"/>
      <c r="Q226" s="59"/>
      <c r="S226" s="59"/>
      <c r="T226" s="59"/>
      <c r="U226" s="59"/>
      <c r="V226" s="63"/>
      <c r="W226" s="63"/>
      <c r="X226" s="63"/>
      <c r="Y226" s="63"/>
      <c r="Z226" s="63"/>
      <c r="AA226" s="63"/>
      <c r="AB226" s="63"/>
    </row>
    <row r="227" spans="2:28" x14ac:dyDescent="0.25">
      <c r="B227" s="59"/>
      <c r="C227" s="59"/>
      <c r="D227" s="59"/>
      <c r="E227" s="59"/>
      <c r="F227" s="59"/>
      <c r="G227" s="59"/>
      <c r="H227" s="65"/>
      <c r="I227" s="65"/>
      <c r="J227" s="59"/>
      <c r="K227" s="59"/>
      <c r="L227" s="65"/>
      <c r="M227" s="66"/>
      <c r="N227" s="66"/>
      <c r="O227" s="66"/>
      <c r="P227" s="66"/>
      <c r="Q227" s="59"/>
      <c r="S227" s="59"/>
      <c r="T227" s="59"/>
      <c r="U227" s="59"/>
      <c r="V227" s="63"/>
      <c r="W227" s="63"/>
      <c r="X227" s="63"/>
      <c r="Y227" s="63"/>
      <c r="Z227" s="63"/>
      <c r="AA227" s="63"/>
      <c r="AB227" s="63"/>
    </row>
    <row r="228" spans="2:28" x14ac:dyDescent="0.25">
      <c r="B228" s="59"/>
      <c r="C228" s="59"/>
      <c r="D228" s="59"/>
      <c r="E228" s="59"/>
      <c r="F228" s="59"/>
      <c r="G228" s="59"/>
      <c r="H228" s="65"/>
      <c r="I228" s="65"/>
      <c r="J228" s="59"/>
      <c r="K228" s="59"/>
      <c r="L228" s="65"/>
      <c r="M228" s="66"/>
      <c r="N228" s="66"/>
      <c r="O228" s="66"/>
      <c r="P228" s="66"/>
      <c r="Q228" s="59"/>
      <c r="S228" s="59"/>
      <c r="T228" s="59"/>
      <c r="U228" s="59"/>
      <c r="V228" s="63"/>
      <c r="W228" s="63"/>
      <c r="X228" s="63"/>
      <c r="Y228" s="63"/>
      <c r="Z228" s="63"/>
      <c r="AA228" s="63"/>
      <c r="AB228" s="63"/>
    </row>
    <row r="229" spans="2:28" x14ac:dyDescent="0.25">
      <c r="B229" s="59"/>
      <c r="C229" s="59"/>
      <c r="D229" s="59"/>
      <c r="E229" s="59"/>
      <c r="F229" s="59"/>
      <c r="G229" s="59"/>
      <c r="H229" s="65"/>
      <c r="I229" s="65"/>
      <c r="J229" s="59"/>
      <c r="K229" s="59"/>
      <c r="L229" s="65"/>
      <c r="M229" s="66"/>
      <c r="N229" s="66"/>
      <c r="O229" s="66"/>
      <c r="P229" s="66"/>
      <c r="Q229" s="59"/>
      <c r="S229" s="59"/>
      <c r="T229" s="59"/>
      <c r="U229" s="59"/>
      <c r="V229" s="63"/>
      <c r="W229" s="63"/>
      <c r="X229" s="63"/>
      <c r="Y229" s="63"/>
      <c r="Z229" s="63"/>
      <c r="AA229" s="63"/>
      <c r="AB229" s="63"/>
    </row>
    <row r="230" spans="2:28" x14ac:dyDescent="0.25">
      <c r="B230" s="59"/>
      <c r="C230" s="59"/>
      <c r="D230" s="59"/>
      <c r="E230" s="59"/>
      <c r="F230" s="59"/>
      <c r="G230" s="59"/>
      <c r="H230" s="65"/>
      <c r="I230" s="65"/>
      <c r="J230" s="59"/>
      <c r="K230" s="59"/>
      <c r="L230" s="65"/>
      <c r="M230" s="66"/>
      <c r="N230" s="66"/>
      <c r="O230" s="66"/>
      <c r="P230" s="66"/>
      <c r="Q230" s="59"/>
      <c r="S230" s="59"/>
      <c r="T230" s="59"/>
      <c r="U230" s="59"/>
      <c r="V230" s="63"/>
      <c r="W230" s="63"/>
      <c r="X230" s="63"/>
      <c r="Y230" s="63"/>
      <c r="Z230" s="63"/>
      <c r="AA230" s="63"/>
      <c r="AB230" s="63"/>
    </row>
    <row r="231" spans="2:28" x14ac:dyDescent="0.25">
      <c r="B231" s="59"/>
      <c r="C231" s="59"/>
      <c r="D231" s="59"/>
      <c r="E231" s="59"/>
      <c r="F231" s="59"/>
      <c r="G231" s="59"/>
      <c r="H231" s="65"/>
      <c r="I231" s="65"/>
      <c r="J231" s="59"/>
      <c r="K231" s="59"/>
      <c r="L231" s="65"/>
      <c r="M231" s="66"/>
      <c r="N231" s="66"/>
      <c r="O231" s="66"/>
      <c r="P231" s="66"/>
      <c r="Q231" s="59"/>
      <c r="S231" s="59"/>
      <c r="T231" s="59"/>
      <c r="U231" s="59"/>
      <c r="V231" s="63"/>
      <c r="W231" s="63"/>
      <c r="X231" s="63"/>
      <c r="Y231" s="63"/>
      <c r="Z231" s="63"/>
      <c r="AA231" s="63"/>
      <c r="AB231" s="63"/>
    </row>
    <row r="232" spans="2:28" x14ac:dyDescent="0.25">
      <c r="B232" s="59"/>
      <c r="C232" s="59"/>
      <c r="D232" s="59"/>
      <c r="E232" s="59"/>
      <c r="F232" s="59"/>
      <c r="G232" s="59"/>
      <c r="H232" s="65"/>
      <c r="I232" s="65"/>
      <c r="J232" s="59"/>
      <c r="K232" s="59"/>
      <c r="L232" s="65"/>
      <c r="M232" s="66"/>
      <c r="N232" s="66"/>
      <c r="O232" s="66"/>
      <c r="P232" s="66"/>
      <c r="Q232" s="59"/>
      <c r="S232" s="59"/>
      <c r="T232" s="59"/>
      <c r="U232" s="59"/>
      <c r="V232" s="63"/>
      <c r="W232" s="63"/>
      <c r="X232" s="63"/>
      <c r="Y232" s="63"/>
      <c r="Z232" s="63"/>
      <c r="AA232" s="63"/>
      <c r="AB232" s="63"/>
    </row>
    <row r="233" spans="2:28" x14ac:dyDescent="0.25">
      <c r="B233" s="59"/>
      <c r="C233" s="59"/>
      <c r="D233" s="59"/>
      <c r="E233" s="59"/>
      <c r="F233" s="59"/>
      <c r="G233" s="59"/>
      <c r="H233" s="65"/>
      <c r="I233" s="65"/>
      <c r="J233" s="59"/>
      <c r="K233" s="59"/>
      <c r="L233" s="65"/>
      <c r="M233" s="66"/>
      <c r="N233" s="66"/>
      <c r="O233" s="66"/>
      <c r="P233" s="66"/>
      <c r="Q233" s="59"/>
      <c r="S233" s="59"/>
      <c r="T233" s="59"/>
      <c r="U233" s="59"/>
      <c r="V233" s="63"/>
      <c r="W233" s="63"/>
      <c r="X233" s="63"/>
      <c r="Y233" s="63"/>
      <c r="Z233" s="63"/>
      <c r="AA233" s="63"/>
      <c r="AB233" s="63"/>
    </row>
    <row r="234" spans="2:28" x14ac:dyDescent="0.25">
      <c r="B234" s="59"/>
      <c r="C234" s="59"/>
      <c r="D234" s="59"/>
      <c r="E234" s="59"/>
      <c r="F234" s="59"/>
      <c r="G234" s="59"/>
      <c r="H234" s="65"/>
      <c r="I234" s="65"/>
      <c r="J234" s="59"/>
      <c r="K234" s="59"/>
      <c r="L234" s="65"/>
      <c r="M234" s="66"/>
      <c r="N234" s="66"/>
      <c r="O234" s="66"/>
      <c r="P234" s="66"/>
      <c r="Q234" s="59"/>
      <c r="S234" s="59"/>
      <c r="T234" s="59"/>
      <c r="U234" s="59"/>
      <c r="V234" s="63"/>
      <c r="W234" s="63"/>
      <c r="X234" s="63"/>
      <c r="Y234" s="63"/>
      <c r="Z234" s="63"/>
      <c r="AA234" s="63"/>
      <c r="AB234" s="63"/>
    </row>
    <row r="235" spans="2:28" x14ac:dyDescent="0.25">
      <c r="B235" s="59"/>
      <c r="C235" s="59"/>
      <c r="D235" s="59"/>
      <c r="E235" s="59"/>
      <c r="F235" s="59"/>
      <c r="G235" s="59"/>
      <c r="H235" s="65"/>
      <c r="I235" s="65"/>
      <c r="J235" s="59"/>
      <c r="K235" s="59"/>
      <c r="L235" s="65"/>
      <c r="M235" s="66"/>
      <c r="N235" s="66"/>
      <c r="O235" s="66"/>
      <c r="P235" s="66"/>
      <c r="Q235" s="59"/>
      <c r="S235" s="59"/>
      <c r="T235" s="59"/>
      <c r="U235" s="59"/>
      <c r="V235" s="63"/>
      <c r="W235" s="63"/>
      <c r="X235" s="63"/>
      <c r="Y235" s="63"/>
      <c r="Z235" s="63"/>
      <c r="AA235" s="63"/>
      <c r="AB235" s="63"/>
    </row>
    <row r="236" spans="2:28" x14ac:dyDescent="0.25">
      <c r="B236" s="59"/>
      <c r="C236" s="59"/>
      <c r="D236" s="59"/>
      <c r="E236" s="59"/>
      <c r="F236" s="59"/>
      <c r="G236" s="59"/>
      <c r="H236" s="65"/>
      <c r="I236" s="65"/>
      <c r="J236" s="59"/>
      <c r="K236" s="59"/>
      <c r="L236" s="65"/>
      <c r="M236" s="66"/>
      <c r="N236" s="66"/>
      <c r="O236" s="66"/>
      <c r="P236" s="66"/>
      <c r="Q236" s="59"/>
      <c r="S236" s="59"/>
      <c r="T236" s="59"/>
      <c r="U236" s="59"/>
      <c r="V236" s="63"/>
      <c r="W236" s="63"/>
      <c r="X236" s="63"/>
      <c r="Y236" s="63"/>
      <c r="Z236" s="63"/>
      <c r="AA236" s="63"/>
      <c r="AB236" s="63"/>
    </row>
    <row r="237" spans="2:28" x14ac:dyDescent="0.25">
      <c r="B237" s="59"/>
      <c r="C237" s="59"/>
      <c r="D237" s="59"/>
      <c r="E237" s="59"/>
      <c r="F237" s="59"/>
      <c r="G237" s="59"/>
      <c r="H237" s="65"/>
      <c r="I237" s="65"/>
      <c r="J237" s="59"/>
      <c r="K237" s="59"/>
      <c r="L237" s="65"/>
      <c r="M237" s="66"/>
      <c r="N237" s="66"/>
      <c r="O237" s="66"/>
      <c r="P237" s="66"/>
      <c r="Q237" s="59"/>
      <c r="S237" s="59"/>
      <c r="T237" s="59"/>
      <c r="U237" s="59"/>
      <c r="V237" s="63"/>
      <c r="W237" s="63"/>
      <c r="X237" s="63"/>
      <c r="Y237" s="63"/>
      <c r="Z237" s="63"/>
      <c r="AA237" s="63"/>
      <c r="AB237" s="63"/>
    </row>
    <row r="238" spans="2:28" x14ac:dyDescent="0.25">
      <c r="B238" s="59"/>
      <c r="C238" s="59"/>
      <c r="D238" s="59"/>
      <c r="E238" s="59"/>
      <c r="F238" s="59"/>
      <c r="G238" s="59"/>
      <c r="H238" s="65"/>
      <c r="I238" s="65"/>
      <c r="J238" s="59"/>
      <c r="K238" s="59"/>
      <c r="L238" s="65"/>
      <c r="M238" s="66"/>
      <c r="N238" s="66"/>
      <c r="O238" s="66"/>
      <c r="P238" s="66"/>
      <c r="Q238" s="59"/>
      <c r="S238" s="59"/>
      <c r="T238" s="59"/>
      <c r="U238" s="59"/>
      <c r="V238" s="63"/>
      <c r="W238" s="63"/>
      <c r="X238" s="63"/>
      <c r="Y238" s="63"/>
      <c r="Z238" s="63"/>
      <c r="AA238" s="63"/>
      <c r="AB238" s="63"/>
    </row>
    <row r="239" spans="2:28" x14ac:dyDescent="0.25">
      <c r="B239" s="59"/>
      <c r="C239" s="59"/>
      <c r="D239" s="59"/>
      <c r="E239" s="59"/>
      <c r="F239" s="59"/>
      <c r="G239" s="59"/>
      <c r="H239" s="65"/>
      <c r="I239" s="65"/>
      <c r="J239" s="59"/>
      <c r="K239" s="59"/>
      <c r="L239" s="65"/>
      <c r="M239" s="66"/>
      <c r="N239" s="66"/>
      <c r="O239" s="66"/>
      <c r="P239" s="66"/>
      <c r="Q239" s="59"/>
      <c r="S239" s="59"/>
      <c r="T239" s="59"/>
      <c r="U239" s="59"/>
      <c r="V239" s="63"/>
      <c r="W239" s="63"/>
      <c r="X239" s="63"/>
      <c r="Y239" s="63"/>
      <c r="Z239" s="63"/>
      <c r="AA239" s="63"/>
      <c r="AB239" s="63"/>
    </row>
    <row r="240" spans="2:28" x14ac:dyDescent="0.25">
      <c r="B240" s="59"/>
      <c r="C240" s="59"/>
      <c r="D240" s="59"/>
      <c r="E240" s="59"/>
      <c r="F240" s="59"/>
      <c r="G240" s="59"/>
      <c r="H240" s="65"/>
      <c r="I240" s="65"/>
      <c r="J240" s="59"/>
      <c r="K240" s="59"/>
      <c r="L240" s="65"/>
      <c r="M240" s="66"/>
      <c r="N240" s="66"/>
      <c r="O240" s="66"/>
      <c r="P240" s="66"/>
      <c r="Q240" s="59"/>
      <c r="S240" s="59"/>
      <c r="T240" s="59"/>
      <c r="U240" s="59"/>
      <c r="V240" s="63"/>
      <c r="W240" s="63"/>
      <c r="X240" s="63"/>
      <c r="Y240" s="63"/>
      <c r="Z240" s="63"/>
      <c r="AA240" s="63"/>
      <c r="AB240" s="63"/>
    </row>
    <row r="241" spans="2:28" x14ac:dyDescent="0.25">
      <c r="B241" s="59"/>
      <c r="C241" s="59"/>
      <c r="D241" s="59"/>
      <c r="E241" s="59"/>
      <c r="F241" s="59"/>
      <c r="G241" s="59"/>
      <c r="H241" s="65"/>
      <c r="I241" s="65"/>
      <c r="J241" s="59"/>
      <c r="K241" s="59"/>
      <c r="L241" s="65"/>
      <c r="M241" s="66"/>
      <c r="N241" s="66"/>
      <c r="O241" s="66"/>
      <c r="P241" s="66"/>
      <c r="Q241" s="59"/>
      <c r="S241" s="59"/>
      <c r="T241" s="59"/>
      <c r="U241" s="59"/>
      <c r="V241" s="63"/>
      <c r="W241" s="63"/>
      <c r="X241" s="63"/>
      <c r="Y241" s="63"/>
      <c r="Z241" s="63"/>
      <c r="AA241" s="63"/>
      <c r="AB241" s="63"/>
    </row>
    <row r="242" spans="2:28" x14ac:dyDescent="0.25">
      <c r="B242" s="59"/>
      <c r="C242" s="59"/>
      <c r="D242" s="59"/>
      <c r="E242" s="59"/>
      <c r="F242" s="59"/>
      <c r="G242" s="59"/>
      <c r="H242" s="65"/>
      <c r="I242" s="65"/>
      <c r="J242" s="59"/>
      <c r="K242" s="59"/>
      <c r="L242" s="65"/>
      <c r="M242" s="66"/>
      <c r="N242" s="66"/>
      <c r="O242" s="66"/>
      <c r="P242" s="66"/>
      <c r="Q242" s="59"/>
      <c r="S242" s="59"/>
      <c r="T242" s="59"/>
      <c r="U242" s="59"/>
      <c r="V242" s="63"/>
      <c r="W242" s="63"/>
      <c r="X242" s="63"/>
      <c r="Y242" s="63"/>
      <c r="Z242" s="63"/>
      <c r="AA242" s="63"/>
      <c r="AB242" s="63"/>
    </row>
    <row r="243" spans="2:28" x14ac:dyDescent="0.25">
      <c r="B243" s="59"/>
      <c r="C243" s="59"/>
      <c r="D243" s="59"/>
      <c r="E243" s="59"/>
      <c r="F243" s="59"/>
      <c r="G243" s="59"/>
      <c r="H243" s="65"/>
      <c r="I243" s="65"/>
      <c r="J243" s="59"/>
      <c r="K243" s="59"/>
      <c r="L243" s="65"/>
      <c r="M243" s="66"/>
      <c r="N243" s="66"/>
      <c r="O243" s="66"/>
      <c r="P243" s="66"/>
      <c r="Q243" s="59"/>
      <c r="S243" s="59"/>
      <c r="T243" s="59"/>
      <c r="U243" s="59"/>
      <c r="V243" s="63"/>
      <c r="W243" s="63"/>
      <c r="X243" s="63"/>
      <c r="Y243" s="63"/>
      <c r="Z243" s="63"/>
      <c r="AA243" s="63"/>
      <c r="AB243" s="63"/>
    </row>
    <row r="244" spans="2:28" x14ac:dyDescent="0.25">
      <c r="B244" s="59"/>
      <c r="C244" s="59"/>
      <c r="D244" s="59"/>
      <c r="E244" s="59"/>
      <c r="F244" s="59"/>
      <c r="G244" s="59"/>
      <c r="H244" s="65"/>
      <c r="I244" s="65"/>
      <c r="J244" s="59"/>
      <c r="K244" s="59"/>
      <c r="L244" s="65"/>
      <c r="M244" s="66"/>
      <c r="N244" s="66"/>
      <c r="O244" s="66"/>
      <c r="P244" s="66"/>
      <c r="Q244" s="59"/>
      <c r="S244" s="59"/>
      <c r="T244" s="59"/>
      <c r="U244" s="59"/>
      <c r="V244" s="63"/>
      <c r="W244" s="63"/>
      <c r="X244" s="63"/>
      <c r="Y244" s="63"/>
      <c r="Z244" s="63"/>
      <c r="AA244" s="63"/>
      <c r="AB244" s="63"/>
    </row>
    <row r="245" spans="2:28" x14ac:dyDescent="0.25">
      <c r="B245" s="59"/>
      <c r="C245" s="59"/>
      <c r="D245" s="59"/>
      <c r="E245" s="59"/>
      <c r="F245" s="59"/>
      <c r="G245" s="59"/>
      <c r="H245" s="65"/>
      <c r="I245" s="65"/>
      <c r="J245" s="59"/>
      <c r="K245" s="59"/>
      <c r="L245" s="65"/>
      <c r="M245" s="66"/>
      <c r="N245" s="66"/>
      <c r="O245" s="66"/>
      <c r="P245" s="66"/>
      <c r="Q245" s="59"/>
      <c r="S245" s="59"/>
      <c r="T245" s="59"/>
      <c r="U245" s="59"/>
      <c r="V245" s="63"/>
      <c r="W245" s="63"/>
      <c r="X245" s="63"/>
      <c r="Y245" s="63"/>
      <c r="Z245" s="63"/>
      <c r="AA245" s="63"/>
      <c r="AB245" s="63"/>
    </row>
    <row r="246" spans="2:28" x14ac:dyDescent="0.25">
      <c r="B246" s="59"/>
      <c r="C246" s="59"/>
      <c r="D246" s="59"/>
      <c r="E246" s="59"/>
      <c r="F246" s="59"/>
      <c r="G246" s="59"/>
      <c r="H246" s="65"/>
      <c r="I246" s="65"/>
      <c r="J246" s="59"/>
      <c r="K246" s="59"/>
      <c r="L246" s="65"/>
      <c r="M246" s="66"/>
      <c r="N246" s="66"/>
      <c r="O246" s="66"/>
      <c r="P246" s="66"/>
      <c r="Q246" s="59"/>
      <c r="S246" s="59"/>
      <c r="T246" s="59"/>
      <c r="U246" s="59"/>
      <c r="V246" s="63"/>
      <c r="W246" s="63"/>
      <c r="X246" s="63"/>
      <c r="Y246" s="63"/>
      <c r="Z246" s="63"/>
      <c r="AA246" s="63"/>
      <c r="AB246" s="63"/>
    </row>
    <row r="247" spans="2:28" x14ac:dyDescent="0.25">
      <c r="B247" s="59"/>
      <c r="C247" s="59"/>
      <c r="D247" s="59"/>
      <c r="E247" s="59"/>
      <c r="F247" s="59"/>
      <c r="G247" s="59"/>
      <c r="H247" s="65"/>
      <c r="I247" s="65"/>
      <c r="J247" s="59"/>
      <c r="K247" s="59"/>
      <c r="L247" s="65"/>
      <c r="M247" s="66"/>
      <c r="N247" s="66"/>
      <c r="O247" s="66"/>
      <c r="P247" s="66"/>
      <c r="Q247" s="59"/>
      <c r="S247" s="59"/>
      <c r="T247" s="59"/>
      <c r="U247" s="59"/>
      <c r="V247" s="63"/>
      <c r="W247" s="63"/>
      <c r="X247" s="63"/>
      <c r="Y247" s="63"/>
      <c r="Z247" s="63"/>
      <c r="AA247" s="63"/>
      <c r="AB247" s="63"/>
    </row>
    <row r="248" spans="2:28" x14ac:dyDescent="0.25">
      <c r="B248" s="59"/>
      <c r="C248" s="59"/>
      <c r="D248" s="59"/>
      <c r="E248" s="59"/>
      <c r="F248" s="59"/>
      <c r="G248" s="59"/>
      <c r="H248" s="65"/>
      <c r="I248" s="65"/>
      <c r="J248" s="59"/>
      <c r="K248" s="59"/>
      <c r="L248" s="65"/>
      <c r="M248" s="66"/>
      <c r="N248" s="66"/>
      <c r="O248" s="66"/>
      <c r="P248" s="66"/>
      <c r="Q248" s="59"/>
      <c r="S248" s="59"/>
      <c r="T248" s="59"/>
      <c r="U248" s="59"/>
      <c r="V248" s="63"/>
      <c r="W248" s="63"/>
      <c r="X248" s="63"/>
      <c r="Y248" s="63"/>
      <c r="Z248" s="63"/>
      <c r="AA248" s="63"/>
      <c r="AB248" s="63"/>
    </row>
    <row r="249" spans="2:28" x14ac:dyDescent="0.25">
      <c r="B249" s="59"/>
      <c r="C249" s="59"/>
      <c r="D249" s="59"/>
      <c r="E249" s="59"/>
      <c r="F249" s="59"/>
      <c r="G249" s="59"/>
      <c r="H249" s="65"/>
      <c r="I249" s="65"/>
      <c r="J249" s="59"/>
      <c r="K249" s="59"/>
      <c r="L249" s="65"/>
      <c r="M249" s="66"/>
      <c r="N249" s="66"/>
      <c r="O249" s="66"/>
      <c r="P249" s="66"/>
      <c r="Q249" s="59"/>
      <c r="S249" s="59"/>
      <c r="T249" s="59"/>
      <c r="U249" s="59"/>
      <c r="V249" s="63"/>
      <c r="W249" s="63"/>
      <c r="X249" s="63"/>
      <c r="Y249" s="63"/>
      <c r="Z249" s="63"/>
      <c r="AA249" s="63"/>
      <c r="AB249" s="63"/>
    </row>
    <row r="250" spans="2:28" x14ac:dyDescent="0.25">
      <c r="B250" s="59"/>
      <c r="C250" s="59"/>
      <c r="D250" s="59"/>
      <c r="E250" s="59"/>
      <c r="F250" s="59"/>
      <c r="G250" s="59"/>
      <c r="H250" s="65"/>
      <c r="I250" s="65"/>
      <c r="J250" s="59"/>
      <c r="K250" s="59"/>
      <c r="L250" s="65"/>
      <c r="M250" s="66"/>
      <c r="N250" s="66"/>
      <c r="O250" s="66"/>
      <c r="P250" s="66"/>
      <c r="Q250" s="59"/>
      <c r="S250" s="59"/>
      <c r="T250" s="59"/>
      <c r="U250" s="59"/>
      <c r="V250" s="63"/>
      <c r="W250" s="63"/>
      <c r="X250" s="63"/>
      <c r="Y250" s="63"/>
      <c r="Z250" s="63"/>
      <c r="AA250" s="63"/>
      <c r="AB250" s="63"/>
    </row>
    <row r="251" spans="2:28" x14ac:dyDescent="0.25">
      <c r="B251" s="59"/>
      <c r="C251" s="59"/>
      <c r="D251" s="59"/>
      <c r="E251" s="59"/>
      <c r="F251" s="59"/>
      <c r="G251" s="59"/>
      <c r="H251" s="65"/>
      <c r="I251" s="65"/>
      <c r="J251" s="59"/>
      <c r="K251" s="59"/>
      <c r="L251" s="65"/>
      <c r="M251" s="66"/>
      <c r="N251" s="66"/>
      <c r="O251" s="66"/>
      <c r="P251" s="66"/>
      <c r="Q251" s="59"/>
      <c r="S251" s="59"/>
      <c r="T251" s="59"/>
      <c r="U251" s="59"/>
      <c r="V251" s="63"/>
      <c r="W251" s="63"/>
      <c r="X251" s="63"/>
      <c r="Y251" s="63"/>
      <c r="Z251" s="63"/>
      <c r="AA251" s="63"/>
      <c r="AB251" s="63"/>
    </row>
    <row r="252" spans="2:28" x14ac:dyDescent="0.25">
      <c r="B252" s="59"/>
      <c r="C252" s="59"/>
      <c r="D252" s="59"/>
      <c r="E252" s="59"/>
      <c r="F252" s="59"/>
      <c r="G252" s="59"/>
      <c r="H252" s="65"/>
      <c r="I252" s="65"/>
      <c r="J252" s="59"/>
      <c r="K252" s="59"/>
      <c r="L252" s="65"/>
      <c r="M252" s="66"/>
      <c r="N252" s="66"/>
      <c r="O252" s="66"/>
      <c r="P252" s="66"/>
      <c r="Q252" s="59"/>
      <c r="S252" s="59"/>
      <c r="T252" s="59"/>
      <c r="U252" s="59"/>
      <c r="V252" s="63"/>
      <c r="W252" s="63"/>
      <c r="X252" s="63"/>
      <c r="Y252" s="63"/>
      <c r="Z252" s="63"/>
      <c r="AA252" s="63"/>
      <c r="AB252" s="63"/>
    </row>
    <row r="253" spans="2:28" x14ac:dyDescent="0.25">
      <c r="B253" s="59"/>
      <c r="C253" s="59"/>
      <c r="D253" s="59"/>
      <c r="E253" s="59"/>
      <c r="F253" s="59"/>
      <c r="G253" s="59"/>
      <c r="H253" s="65"/>
      <c r="I253" s="65"/>
      <c r="J253" s="59"/>
      <c r="K253" s="59"/>
      <c r="L253" s="65"/>
      <c r="M253" s="66"/>
      <c r="N253" s="66"/>
      <c r="O253" s="66"/>
      <c r="P253" s="66"/>
      <c r="Q253" s="59"/>
      <c r="S253" s="59"/>
      <c r="T253" s="59"/>
      <c r="U253" s="59"/>
      <c r="V253" s="63"/>
      <c r="W253" s="63"/>
      <c r="X253" s="63"/>
      <c r="Y253" s="63"/>
      <c r="Z253" s="63"/>
      <c r="AA253" s="63"/>
      <c r="AB253" s="63"/>
    </row>
    <row r="254" spans="2:28" x14ac:dyDescent="0.25">
      <c r="B254" s="59"/>
      <c r="C254" s="59"/>
      <c r="D254" s="59"/>
      <c r="E254" s="59"/>
      <c r="F254" s="59"/>
      <c r="G254" s="59"/>
      <c r="H254" s="65"/>
      <c r="I254" s="65"/>
      <c r="J254" s="59"/>
      <c r="K254" s="59"/>
      <c r="L254" s="65"/>
      <c r="M254" s="66"/>
      <c r="N254" s="66"/>
      <c r="O254" s="66"/>
      <c r="P254" s="66"/>
      <c r="Q254" s="59"/>
      <c r="S254" s="59"/>
      <c r="T254" s="59"/>
      <c r="U254" s="59"/>
      <c r="V254" s="63"/>
      <c r="W254" s="63"/>
      <c r="X254" s="63"/>
      <c r="Y254" s="63"/>
      <c r="Z254" s="63"/>
      <c r="AA254" s="63"/>
      <c r="AB254" s="63"/>
    </row>
    <row r="255" spans="2:28" x14ac:dyDescent="0.25">
      <c r="B255" s="59"/>
      <c r="C255" s="59"/>
      <c r="D255" s="59"/>
      <c r="E255" s="59"/>
      <c r="F255" s="59"/>
      <c r="G255" s="59"/>
      <c r="H255" s="65"/>
      <c r="I255" s="65"/>
      <c r="J255" s="59"/>
      <c r="K255" s="59"/>
      <c r="L255" s="65"/>
      <c r="M255" s="66"/>
      <c r="N255" s="66"/>
      <c r="O255" s="66"/>
      <c r="P255" s="66"/>
      <c r="Q255" s="59"/>
      <c r="S255" s="59"/>
      <c r="T255" s="59"/>
      <c r="U255" s="59"/>
      <c r="V255" s="63"/>
      <c r="W255" s="63"/>
      <c r="X255" s="63"/>
      <c r="Y255" s="63"/>
      <c r="Z255" s="63"/>
      <c r="AA255" s="63"/>
      <c r="AB255" s="63"/>
    </row>
    <row r="256" spans="2:28" x14ac:dyDescent="0.25">
      <c r="B256" s="59"/>
      <c r="C256" s="59"/>
      <c r="D256" s="59"/>
      <c r="E256" s="59"/>
      <c r="F256" s="59"/>
      <c r="G256" s="59"/>
      <c r="H256" s="65"/>
      <c r="I256" s="65"/>
      <c r="J256" s="59"/>
      <c r="K256" s="59"/>
      <c r="L256" s="65"/>
      <c r="M256" s="66"/>
      <c r="N256" s="66"/>
      <c r="O256" s="66"/>
      <c r="P256" s="66"/>
      <c r="Q256" s="59"/>
      <c r="S256" s="59"/>
      <c r="T256" s="59"/>
      <c r="U256" s="59"/>
      <c r="V256" s="63"/>
      <c r="W256" s="63"/>
      <c r="X256" s="63"/>
      <c r="Y256" s="63"/>
      <c r="Z256" s="63"/>
      <c r="AA256" s="63"/>
      <c r="AB256" s="63"/>
    </row>
    <row r="257" spans="2:28" x14ac:dyDescent="0.25">
      <c r="B257" s="59"/>
      <c r="C257" s="59"/>
      <c r="D257" s="59"/>
      <c r="E257" s="59"/>
      <c r="F257" s="59"/>
      <c r="G257" s="59"/>
      <c r="H257" s="65"/>
      <c r="I257" s="65"/>
      <c r="J257" s="59"/>
      <c r="K257" s="59"/>
      <c r="L257" s="65"/>
      <c r="M257" s="66"/>
      <c r="N257" s="66"/>
      <c r="O257" s="66"/>
      <c r="P257" s="66"/>
      <c r="Q257" s="59"/>
      <c r="S257" s="59"/>
      <c r="T257" s="59"/>
      <c r="U257" s="59"/>
      <c r="V257" s="63"/>
      <c r="W257" s="63"/>
      <c r="X257" s="63"/>
      <c r="Y257" s="63"/>
      <c r="Z257" s="63"/>
      <c r="AA257" s="63"/>
      <c r="AB257" s="63"/>
    </row>
    <row r="258" spans="2:28" x14ac:dyDescent="0.25">
      <c r="B258" s="59"/>
      <c r="C258" s="59"/>
      <c r="D258" s="59"/>
      <c r="E258" s="59"/>
      <c r="F258" s="59"/>
      <c r="G258" s="59"/>
      <c r="H258" s="65"/>
      <c r="I258" s="65"/>
      <c r="J258" s="59"/>
      <c r="K258" s="59"/>
      <c r="L258" s="65"/>
      <c r="M258" s="66"/>
      <c r="N258" s="66"/>
      <c r="O258" s="66"/>
      <c r="P258" s="66"/>
      <c r="Q258" s="59"/>
      <c r="S258" s="59"/>
      <c r="T258" s="59"/>
      <c r="U258" s="59"/>
      <c r="V258" s="63"/>
      <c r="W258" s="63"/>
      <c r="X258" s="63"/>
      <c r="Y258" s="63"/>
      <c r="Z258" s="63"/>
      <c r="AA258" s="63"/>
      <c r="AB258" s="63"/>
    </row>
    <row r="259" spans="2:28" x14ac:dyDescent="0.25">
      <c r="B259" s="59"/>
      <c r="C259" s="59"/>
      <c r="D259" s="59"/>
      <c r="E259" s="59"/>
      <c r="F259" s="59"/>
      <c r="G259" s="59"/>
      <c r="H259" s="65"/>
      <c r="I259" s="65"/>
      <c r="J259" s="59"/>
      <c r="K259" s="59"/>
      <c r="L259" s="65"/>
      <c r="M259" s="66"/>
      <c r="N259" s="66"/>
      <c r="O259" s="66"/>
      <c r="P259" s="66"/>
      <c r="Q259" s="59"/>
      <c r="S259" s="59"/>
      <c r="T259" s="59"/>
      <c r="U259" s="59"/>
      <c r="V259" s="63"/>
      <c r="W259" s="63"/>
      <c r="X259" s="63"/>
      <c r="Y259" s="63"/>
      <c r="Z259" s="63"/>
      <c r="AA259" s="63"/>
      <c r="AB259" s="63"/>
    </row>
    <row r="260" spans="2:28" x14ac:dyDescent="0.25">
      <c r="B260" s="59"/>
      <c r="C260" s="59"/>
      <c r="D260" s="59"/>
      <c r="E260" s="59"/>
      <c r="F260" s="59"/>
      <c r="G260" s="59"/>
      <c r="H260" s="65"/>
      <c r="I260" s="65"/>
      <c r="J260" s="59"/>
      <c r="K260" s="59"/>
      <c r="L260" s="65"/>
      <c r="M260" s="66"/>
      <c r="N260" s="66"/>
      <c r="O260" s="66"/>
      <c r="P260" s="66"/>
      <c r="Q260" s="59"/>
      <c r="S260" s="59"/>
      <c r="T260" s="59"/>
      <c r="U260" s="59"/>
      <c r="V260" s="63"/>
      <c r="W260" s="63"/>
      <c r="X260" s="63"/>
      <c r="Y260" s="63"/>
      <c r="Z260" s="63"/>
      <c r="AA260" s="63"/>
      <c r="AB260" s="63"/>
    </row>
    <row r="261" spans="2:28" x14ac:dyDescent="0.25">
      <c r="B261" s="59"/>
      <c r="C261" s="59"/>
      <c r="D261" s="59"/>
      <c r="E261" s="59"/>
      <c r="F261" s="59"/>
      <c r="G261" s="59"/>
      <c r="H261" s="65"/>
      <c r="I261" s="65"/>
      <c r="J261" s="59"/>
      <c r="K261" s="59"/>
      <c r="L261" s="65"/>
      <c r="M261" s="66"/>
      <c r="N261" s="66"/>
      <c r="O261" s="66"/>
      <c r="P261" s="66"/>
      <c r="Q261" s="59"/>
      <c r="S261" s="59"/>
      <c r="T261" s="59"/>
      <c r="U261" s="59"/>
      <c r="V261" s="63"/>
      <c r="W261" s="63"/>
      <c r="X261" s="63"/>
      <c r="Y261" s="63"/>
      <c r="Z261" s="63"/>
      <c r="AA261" s="63"/>
      <c r="AB261" s="63"/>
    </row>
    <row r="262" spans="2:28" x14ac:dyDescent="0.25">
      <c r="B262" s="59"/>
      <c r="C262" s="59"/>
      <c r="D262" s="59"/>
      <c r="E262" s="59"/>
      <c r="F262" s="59"/>
      <c r="G262" s="59"/>
      <c r="H262" s="65"/>
      <c r="I262" s="65"/>
      <c r="J262" s="59"/>
      <c r="K262" s="59"/>
      <c r="L262" s="65"/>
      <c r="M262" s="66"/>
      <c r="N262" s="66"/>
      <c r="O262" s="66"/>
      <c r="P262" s="66"/>
      <c r="Q262" s="59"/>
      <c r="S262" s="59"/>
      <c r="T262" s="59"/>
      <c r="U262" s="59"/>
      <c r="V262" s="63"/>
      <c r="W262" s="63"/>
      <c r="X262" s="63"/>
      <c r="Y262" s="63"/>
      <c r="Z262" s="63"/>
      <c r="AA262" s="63"/>
      <c r="AB262" s="63"/>
    </row>
    <row r="263" spans="2:28" x14ac:dyDescent="0.25">
      <c r="B263" s="59"/>
      <c r="C263" s="59"/>
      <c r="D263" s="59"/>
      <c r="E263" s="59"/>
      <c r="F263" s="59"/>
      <c r="G263" s="59"/>
      <c r="H263" s="65"/>
      <c r="I263" s="65"/>
      <c r="J263" s="59"/>
      <c r="K263" s="59"/>
      <c r="L263" s="65"/>
      <c r="M263" s="66"/>
      <c r="N263" s="66"/>
      <c r="O263" s="66"/>
      <c r="P263" s="66"/>
      <c r="Q263" s="59"/>
      <c r="S263" s="59"/>
      <c r="T263" s="59"/>
      <c r="U263" s="59"/>
      <c r="V263" s="63"/>
      <c r="W263" s="63"/>
      <c r="X263" s="63"/>
      <c r="Y263" s="63"/>
      <c r="Z263" s="63"/>
      <c r="AA263" s="63"/>
      <c r="AB263" s="63"/>
    </row>
    <row r="264" spans="2:28" x14ac:dyDescent="0.25">
      <c r="B264" s="59"/>
      <c r="C264" s="59"/>
      <c r="D264" s="59"/>
      <c r="E264" s="59"/>
      <c r="F264" s="59"/>
      <c r="G264" s="59"/>
      <c r="H264" s="65"/>
      <c r="I264" s="65"/>
      <c r="J264" s="59"/>
      <c r="K264" s="59"/>
      <c r="L264" s="65"/>
      <c r="M264" s="66"/>
      <c r="N264" s="66"/>
      <c r="O264" s="66"/>
      <c r="P264" s="66"/>
      <c r="Q264" s="59"/>
      <c r="S264" s="59"/>
      <c r="T264" s="59"/>
      <c r="U264" s="59"/>
      <c r="V264" s="63"/>
      <c r="W264" s="63"/>
      <c r="X264" s="63"/>
      <c r="Y264" s="63"/>
      <c r="Z264" s="63"/>
      <c r="AA264" s="63"/>
      <c r="AB264" s="63"/>
    </row>
    <row r="265" spans="2:28" x14ac:dyDescent="0.25">
      <c r="B265" s="59"/>
      <c r="C265" s="59"/>
      <c r="D265" s="59"/>
      <c r="E265" s="59"/>
      <c r="F265" s="59"/>
      <c r="G265" s="59"/>
      <c r="H265" s="65"/>
      <c r="I265" s="65"/>
      <c r="J265" s="59"/>
      <c r="K265" s="59"/>
      <c r="L265" s="65"/>
      <c r="M265" s="66"/>
      <c r="N265" s="66"/>
      <c r="O265" s="66"/>
      <c r="P265" s="66"/>
      <c r="Q265" s="59"/>
      <c r="S265" s="59"/>
      <c r="T265" s="59"/>
      <c r="U265" s="59"/>
      <c r="V265" s="63"/>
      <c r="W265" s="63"/>
      <c r="X265" s="63"/>
      <c r="Y265" s="63"/>
      <c r="Z265" s="63"/>
      <c r="AA265" s="63"/>
      <c r="AB265" s="63"/>
    </row>
    <row r="266" spans="2:28" x14ac:dyDescent="0.25">
      <c r="B266" s="59"/>
      <c r="C266" s="59"/>
      <c r="D266" s="59"/>
      <c r="E266" s="59"/>
      <c r="F266" s="59"/>
      <c r="G266" s="59"/>
      <c r="H266" s="65"/>
      <c r="I266" s="65"/>
      <c r="J266" s="59"/>
      <c r="K266" s="59"/>
      <c r="L266" s="65"/>
      <c r="M266" s="66"/>
      <c r="N266" s="66"/>
      <c r="O266" s="66"/>
      <c r="P266" s="66"/>
      <c r="Q266" s="59"/>
      <c r="S266" s="59"/>
      <c r="T266" s="59"/>
      <c r="U266" s="59"/>
      <c r="V266" s="63"/>
      <c r="W266" s="63"/>
      <c r="X266" s="63"/>
      <c r="Y266" s="63"/>
      <c r="Z266" s="63"/>
      <c r="AA266" s="63"/>
      <c r="AB266" s="63"/>
    </row>
    <row r="267" spans="2:28" x14ac:dyDescent="0.25">
      <c r="B267" s="59"/>
      <c r="C267" s="59"/>
      <c r="D267" s="59"/>
      <c r="E267" s="59"/>
      <c r="F267" s="59"/>
      <c r="G267" s="59"/>
      <c r="H267" s="65"/>
      <c r="I267" s="65"/>
      <c r="J267" s="59"/>
      <c r="K267" s="59"/>
      <c r="L267" s="65"/>
      <c r="M267" s="66"/>
      <c r="N267" s="66"/>
      <c r="O267" s="66"/>
      <c r="P267" s="66"/>
      <c r="Q267" s="59"/>
      <c r="S267" s="59"/>
      <c r="T267" s="59"/>
      <c r="U267" s="59"/>
      <c r="V267" s="63"/>
      <c r="W267" s="63"/>
      <c r="X267" s="63"/>
      <c r="Y267" s="63"/>
      <c r="Z267" s="63"/>
      <c r="AA267" s="63"/>
      <c r="AB267" s="63"/>
    </row>
    <row r="268" spans="2:28" x14ac:dyDescent="0.25">
      <c r="B268" s="59"/>
      <c r="C268" s="59"/>
      <c r="D268" s="59"/>
      <c r="E268" s="59"/>
      <c r="F268" s="59"/>
      <c r="G268" s="59"/>
      <c r="H268" s="65"/>
      <c r="I268" s="65"/>
      <c r="J268" s="59"/>
      <c r="K268" s="59"/>
      <c r="L268" s="65"/>
      <c r="M268" s="66"/>
      <c r="N268" s="66"/>
      <c r="O268" s="66"/>
      <c r="P268" s="66"/>
      <c r="Q268" s="59"/>
      <c r="S268" s="59"/>
      <c r="T268" s="59"/>
      <c r="U268" s="59"/>
      <c r="V268" s="63"/>
      <c r="W268" s="63"/>
      <c r="X268" s="63"/>
      <c r="Y268" s="63"/>
      <c r="Z268" s="63"/>
      <c r="AA268" s="63"/>
      <c r="AB268" s="63"/>
    </row>
    <row r="269" spans="2:28" x14ac:dyDescent="0.25">
      <c r="B269" s="59"/>
      <c r="C269" s="59"/>
      <c r="D269" s="59"/>
      <c r="E269" s="59"/>
      <c r="F269" s="59"/>
      <c r="G269" s="59"/>
      <c r="H269" s="65"/>
      <c r="I269" s="65"/>
      <c r="J269" s="59"/>
      <c r="K269" s="59"/>
      <c r="L269" s="65"/>
      <c r="M269" s="66"/>
      <c r="N269" s="66"/>
      <c r="O269" s="66"/>
      <c r="P269" s="66"/>
      <c r="Q269" s="59"/>
      <c r="S269" s="59"/>
      <c r="T269" s="59"/>
      <c r="U269" s="59"/>
      <c r="V269" s="63"/>
      <c r="W269" s="63"/>
      <c r="X269" s="63"/>
      <c r="Y269" s="63"/>
      <c r="Z269" s="63"/>
      <c r="AA269" s="63"/>
      <c r="AB269" s="63"/>
    </row>
    <row r="270" spans="2:28" x14ac:dyDescent="0.25">
      <c r="B270" s="59"/>
      <c r="C270" s="59"/>
      <c r="D270" s="59"/>
      <c r="E270" s="59"/>
      <c r="F270" s="59"/>
      <c r="G270" s="59"/>
      <c r="H270" s="65"/>
      <c r="I270" s="65"/>
      <c r="J270" s="59"/>
      <c r="K270" s="59"/>
      <c r="L270" s="65"/>
      <c r="M270" s="66"/>
      <c r="N270" s="66"/>
      <c r="O270" s="66"/>
      <c r="P270" s="66"/>
      <c r="Q270" s="59"/>
      <c r="S270" s="59"/>
      <c r="T270" s="59"/>
      <c r="U270" s="59"/>
      <c r="V270" s="63"/>
      <c r="W270" s="63"/>
      <c r="X270" s="63"/>
      <c r="Y270" s="63"/>
      <c r="Z270" s="63"/>
      <c r="AA270" s="63"/>
      <c r="AB270" s="63"/>
    </row>
    <row r="271" spans="2:28" x14ac:dyDescent="0.25">
      <c r="B271" s="59"/>
      <c r="C271" s="59"/>
      <c r="D271" s="59"/>
      <c r="E271" s="59"/>
      <c r="F271" s="59"/>
      <c r="G271" s="59"/>
      <c r="H271" s="65"/>
      <c r="I271" s="65"/>
      <c r="J271" s="59"/>
      <c r="K271" s="59"/>
      <c r="L271" s="65"/>
      <c r="M271" s="66"/>
      <c r="N271" s="66"/>
      <c r="O271" s="66"/>
      <c r="P271" s="66"/>
      <c r="Q271" s="59"/>
      <c r="S271" s="59"/>
      <c r="T271" s="59"/>
      <c r="U271" s="59"/>
      <c r="V271" s="63"/>
      <c r="W271" s="63"/>
      <c r="X271" s="63"/>
      <c r="Y271" s="63"/>
      <c r="Z271" s="63"/>
      <c r="AA271" s="63"/>
      <c r="AB271" s="63"/>
    </row>
    <row r="272" spans="2:28" x14ac:dyDescent="0.25">
      <c r="B272" s="59"/>
      <c r="C272" s="59"/>
      <c r="D272" s="59"/>
      <c r="E272" s="59"/>
      <c r="F272" s="59"/>
      <c r="G272" s="59"/>
      <c r="H272" s="65"/>
      <c r="I272" s="65"/>
      <c r="J272" s="59"/>
      <c r="K272" s="59"/>
      <c r="L272" s="65"/>
      <c r="M272" s="66"/>
      <c r="N272" s="66"/>
      <c r="O272" s="66"/>
      <c r="P272" s="66"/>
      <c r="Q272" s="59"/>
      <c r="S272" s="59"/>
      <c r="T272" s="59"/>
      <c r="U272" s="59"/>
      <c r="V272" s="63"/>
      <c r="W272" s="63"/>
      <c r="X272" s="63"/>
      <c r="Y272" s="63"/>
      <c r="Z272" s="63"/>
      <c r="AA272" s="63"/>
      <c r="AB272" s="63"/>
    </row>
    <row r="273" spans="2:28" x14ac:dyDescent="0.25">
      <c r="B273" s="59"/>
      <c r="C273" s="59"/>
      <c r="D273" s="59"/>
      <c r="E273" s="59"/>
      <c r="F273" s="59"/>
      <c r="G273" s="59"/>
      <c r="H273" s="65"/>
      <c r="I273" s="65"/>
      <c r="J273" s="59"/>
      <c r="K273" s="59"/>
      <c r="L273" s="65"/>
      <c r="M273" s="66"/>
      <c r="N273" s="66"/>
      <c r="O273" s="66"/>
      <c r="P273" s="66"/>
      <c r="Q273" s="59"/>
      <c r="S273" s="59"/>
      <c r="T273" s="59"/>
      <c r="U273" s="59"/>
      <c r="V273" s="63"/>
      <c r="W273" s="63"/>
      <c r="X273" s="63"/>
      <c r="Y273" s="63"/>
      <c r="Z273" s="63"/>
      <c r="AA273" s="63"/>
      <c r="AB273" s="63"/>
    </row>
    <row r="274" spans="2:28" x14ac:dyDescent="0.25">
      <c r="B274" s="59"/>
      <c r="C274" s="59"/>
      <c r="D274" s="59"/>
      <c r="E274" s="59"/>
      <c r="F274" s="59"/>
      <c r="G274" s="59"/>
      <c r="H274" s="65"/>
      <c r="I274" s="65"/>
      <c r="J274" s="59"/>
      <c r="K274" s="59"/>
      <c r="L274" s="65"/>
      <c r="M274" s="66"/>
      <c r="N274" s="66"/>
      <c r="O274" s="66"/>
      <c r="P274" s="66"/>
      <c r="Q274" s="59"/>
      <c r="S274" s="59"/>
      <c r="T274" s="59"/>
      <c r="U274" s="59"/>
      <c r="V274" s="63"/>
      <c r="W274" s="63"/>
      <c r="X274" s="63"/>
      <c r="Y274" s="63"/>
      <c r="Z274" s="63"/>
      <c r="AA274" s="63"/>
      <c r="AB274" s="63"/>
    </row>
    <row r="275" spans="2:28" x14ac:dyDescent="0.25">
      <c r="B275" s="59"/>
      <c r="C275" s="59"/>
      <c r="D275" s="59"/>
      <c r="E275" s="59"/>
      <c r="F275" s="59"/>
      <c r="G275" s="59"/>
      <c r="H275" s="65"/>
      <c r="I275" s="65"/>
      <c r="J275" s="59"/>
      <c r="K275" s="59"/>
      <c r="L275" s="65"/>
      <c r="M275" s="66"/>
      <c r="N275" s="66"/>
      <c r="O275" s="66"/>
      <c r="P275" s="66"/>
      <c r="Q275" s="59"/>
      <c r="S275" s="59"/>
      <c r="T275" s="59"/>
      <c r="U275" s="59"/>
      <c r="V275" s="63"/>
      <c r="W275" s="63"/>
      <c r="X275" s="63"/>
      <c r="Y275" s="63"/>
      <c r="Z275" s="63"/>
      <c r="AA275" s="63"/>
      <c r="AB275" s="63"/>
    </row>
    <row r="276" spans="2:28" x14ac:dyDescent="0.25">
      <c r="B276" s="59"/>
      <c r="C276" s="59"/>
      <c r="D276" s="59"/>
      <c r="E276" s="59"/>
      <c r="F276" s="59"/>
      <c r="G276" s="59"/>
      <c r="H276" s="65"/>
      <c r="I276" s="65"/>
      <c r="J276" s="59"/>
      <c r="K276" s="59"/>
      <c r="L276" s="65"/>
      <c r="M276" s="66"/>
      <c r="N276" s="66"/>
      <c r="O276" s="66"/>
      <c r="P276" s="66"/>
      <c r="Q276" s="59"/>
      <c r="S276" s="59"/>
      <c r="T276" s="59"/>
      <c r="U276" s="59"/>
      <c r="V276" s="63"/>
      <c r="W276" s="63"/>
      <c r="X276" s="63"/>
      <c r="Y276" s="63"/>
      <c r="Z276" s="63"/>
      <c r="AA276" s="63"/>
      <c r="AB276" s="63"/>
    </row>
    <row r="277" spans="2:28" x14ac:dyDescent="0.25">
      <c r="B277" s="59"/>
      <c r="C277" s="59"/>
      <c r="D277" s="59"/>
      <c r="E277" s="59"/>
      <c r="F277" s="59"/>
      <c r="G277" s="59"/>
      <c r="H277" s="65"/>
      <c r="I277" s="65"/>
      <c r="J277" s="59"/>
      <c r="K277" s="59"/>
      <c r="L277" s="65"/>
      <c r="M277" s="66"/>
      <c r="N277" s="66"/>
      <c r="O277" s="66"/>
      <c r="P277" s="66"/>
      <c r="Q277" s="59"/>
      <c r="S277" s="59"/>
      <c r="T277" s="59"/>
      <c r="U277" s="59"/>
      <c r="V277" s="63"/>
      <c r="W277" s="63"/>
      <c r="X277" s="63"/>
      <c r="Y277" s="63"/>
      <c r="Z277" s="63"/>
      <c r="AA277" s="63"/>
      <c r="AB277" s="63"/>
    </row>
    <row r="278" spans="2:28" x14ac:dyDescent="0.25">
      <c r="B278" s="59"/>
      <c r="C278" s="59"/>
      <c r="D278" s="59"/>
      <c r="E278" s="59"/>
      <c r="F278" s="59"/>
      <c r="G278" s="59"/>
      <c r="H278" s="65"/>
      <c r="I278" s="65"/>
      <c r="J278" s="59"/>
      <c r="K278" s="59"/>
      <c r="L278" s="65"/>
      <c r="M278" s="66"/>
      <c r="N278" s="66"/>
      <c r="O278" s="66"/>
      <c r="P278" s="66"/>
      <c r="Q278" s="59"/>
      <c r="S278" s="59"/>
      <c r="T278" s="59"/>
      <c r="U278" s="59"/>
      <c r="V278" s="63"/>
      <c r="W278" s="63"/>
      <c r="X278" s="63"/>
      <c r="Y278" s="63"/>
      <c r="Z278" s="63"/>
      <c r="AA278" s="63"/>
      <c r="AB278" s="63"/>
    </row>
    <row r="279" spans="2:28" x14ac:dyDescent="0.25">
      <c r="B279" s="59"/>
      <c r="C279" s="59"/>
      <c r="D279" s="59"/>
      <c r="E279" s="59"/>
      <c r="F279" s="59"/>
      <c r="G279" s="59"/>
      <c r="H279" s="65"/>
      <c r="I279" s="65"/>
      <c r="J279" s="59"/>
      <c r="K279" s="59"/>
      <c r="L279" s="65"/>
      <c r="M279" s="66"/>
      <c r="N279" s="66"/>
      <c r="O279" s="66"/>
      <c r="P279" s="66"/>
      <c r="Q279" s="59"/>
      <c r="S279" s="59"/>
      <c r="T279" s="59"/>
      <c r="U279" s="59"/>
      <c r="V279" s="63"/>
      <c r="W279" s="63"/>
      <c r="X279" s="63"/>
      <c r="Y279" s="63"/>
      <c r="Z279" s="63"/>
      <c r="AA279" s="63"/>
      <c r="AB279" s="63"/>
    </row>
    <row r="280" spans="2:28" x14ac:dyDescent="0.25">
      <c r="B280" s="59"/>
      <c r="C280" s="59"/>
      <c r="D280" s="59"/>
      <c r="E280" s="59"/>
      <c r="F280" s="59"/>
      <c r="G280" s="59"/>
      <c r="H280" s="65"/>
      <c r="I280" s="65"/>
      <c r="J280" s="59"/>
      <c r="K280" s="59"/>
      <c r="L280" s="65"/>
      <c r="M280" s="66"/>
      <c r="N280" s="66"/>
      <c r="O280" s="66"/>
      <c r="P280" s="66"/>
      <c r="Q280" s="59"/>
      <c r="S280" s="59"/>
      <c r="T280" s="59"/>
      <c r="U280" s="59"/>
      <c r="V280" s="63"/>
      <c r="W280" s="63"/>
      <c r="X280" s="63"/>
      <c r="Y280" s="63"/>
      <c r="Z280" s="63"/>
      <c r="AA280" s="63"/>
      <c r="AB280" s="63"/>
    </row>
    <row r="281" spans="2:28" x14ac:dyDescent="0.25">
      <c r="B281" s="59"/>
      <c r="C281" s="59"/>
      <c r="D281" s="59"/>
      <c r="E281" s="59"/>
      <c r="F281" s="59"/>
      <c r="G281" s="59"/>
      <c r="H281" s="65"/>
      <c r="I281" s="65"/>
      <c r="J281" s="59"/>
      <c r="K281" s="59"/>
      <c r="L281" s="65"/>
      <c r="M281" s="66"/>
      <c r="N281" s="66"/>
      <c r="O281" s="66"/>
      <c r="P281" s="66"/>
      <c r="Q281" s="59"/>
      <c r="S281" s="59"/>
      <c r="T281" s="59"/>
      <c r="U281" s="59"/>
      <c r="V281" s="63"/>
      <c r="W281" s="63"/>
      <c r="X281" s="63"/>
      <c r="Y281" s="63"/>
      <c r="Z281" s="63"/>
      <c r="AA281" s="63"/>
      <c r="AB281" s="63"/>
    </row>
    <row r="282" spans="2:28" x14ac:dyDescent="0.25">
      <c r="B282" s="59"/>
      <c r="C282" s="59"/>
      <c r="D282" s="59"/>
      <c r="E282" s="59"/>
      <c r="F282" s="59"/>
      <c r="G282" s="59"/>
      <c r="H282" s="65"/>
      <c r="I282" s="65"/>
      <c r="J282" s="59"/>
      <c r="K282" s="59"/>
      <c r="L282" s="65"/>
      <c r="M282" s="66"/>
      <c r="N282" s="66"/>
      <c r="O282" s="66"/>
      <c r="P282" s="66"/>
      <c r="Q282" s="59"/>
      <c r="S282" s="59"/>
      <c r="T282" s="59"/>
      <c r="U282" s="59"/>
      <c r="V282" s="63"/>
      <c r="W282" s="63"/>
      <c r="X282" s="63"/>
      <c r="Y282" s="63"/>
      <c r="Z282" s="63"/>
      <c r="AA282" s="63"/>
      <c r="AB282" s="63"/>
    </row>
    <row r="283" spans="2:28" x14ac:dyDescent="0.25">
      <c r="B283" s="59"/>
      <c r="C283" s="59"/>
      <c r="D283" s="59"/>
      <c r="E283" s="59"/>
      <c r="F283" s="59"/>
      <c r="G283" s="59"/>
      <c r="H283" s="65"/>
      <c r="I283" s="65"/>
      <c r="J283" s="59"/>
      <c r="K283" s="59"/>
      <c r="L283" s="65"/>
      <c r="M283" s="66"/>
      <c r="N283" s="66"/>
      <c r="O283" s="66"/>
      <c r="P283" s="66"/>
      <c r="Q283" s="59"/>
      <c r="S283" s="59"/>
      <c r="T283" s="59"/>
      <c r="U283" s="59"/>
      <c r="V283" s="63"/>
      <c r="W283" s="63"/>
      <c r="X283" s="63"/>
      <c r="Y283" s="63"/>
      <c r="Z283" s="63"/>
      <c r="AA283" s="63"/>
      <c r="AB283" s="63"/>
    </row>
    <row r="284" spans="2:28" x14ac:dyDescent="0.25">
      <c r="B284" s="59"/>
      <c r="C284" s="59"/>
      <c r="D284" s="59"/>
      <c r="E284" s="59"/>
      <c r="F284" s="59"/>
      <c r="G284" s="59"/>
      <c r="H284" s="65"/>
      <c r="I284" s="65"/>
      <c r="J284" s="59"/>
      <c r="K284" s="59"/>
      <c r="L284" s="65"/>
      <c r="M284" s="66"/>
      <c r="N284" s="66"/>
      <c r="O284" s="66"/>
      <c r="P284" s="66"/>
      <c r="Q284" s="59"/>
      <c r="S284" s="59"/>
      <c r="T284" s="59"/>
      <c r="U284" s="59"/>
      <c r="V284" s="63"/>
      <c r="W284" s="63"/>
      <c r="X284" s="63"/>
      <c r="Y284" s="63"/>
      <c r="Z284" s="63"/>
      <c r="AA284" s="63"/>
      <c r="AB284" s="63"/>
    </row>
    <row r="285" spans="2:28" x14ac:dyDescent="0.25">
      <c r="B285" s="59"/>
      <c r="C285" s="59"/>
      <c r="D285" s="59"/>
      <c r="E285" s="59"/>
      <c r="F285" s="59"/>
      <c r="G285" s="59"/>
      <c r="H285" s="65"/>
      <c r="I285" s="65"/>
      <c r="J285" s="59"/>
      <c r="K285" s="59"/>
      <c r="L285" s="65"/>
      <c r="M285" s="66"/>
      <c r="N285" s="66"/>
      <c r="O285" s="66"/>
      <c r="P285" s="66"/>
      <c r="Q285" s="59"/>
      <c r="S285" s="59"/>
      <c r="T285" s="59"/>
      <c r="U285" s="59"/>
      <c r="V285" s="63"/>
      <c r="W285" s="63"/>
      <c r="X285" s="63"/>
      <c r="Y285" s="63"/>
      <c r="Z285" s="63"/>
      <c r="AA285" s="63"/>
      <c r="AB285" s="63"/>
    </row>
    <row r="286" spans="2:28" x14ac:dyDescent="0.25">
      <c r="B286" s="59"/>
      <c r="C286" s="59"/>
      <c r="D286" s="59"/>
      <c r="E286" s="59"/>
      <c r="F286" s="59"/>
      <c r="G286" s="59"/>
      <c r="H286" s="65"/>
      <c r="I286" s="65"/>
      <c r="J286" s="59"/>
      <c r="K286" s="59"/>
      <c r="L286" s="65"/>
      <c r="M286" s="66"/>
      <c r="N286" s="66"/>
      <c r="O286" s="66"/>
      <c r="P286" s="66"/>
      <c r="Q286" s="59"/>
      <c r="S286" s="59"/>
      <c r="T286" s="59"/>
      <c r="U286" s="59"/>
      <c r="V286" s="63"/>
      <c r="W286" s="63"/>
      <c r="X286" s="63"/>
      <c r="Y286" s="63"/>
      <c r="Z286" s="63"/>
      <c r="AA286" s="63"/>
      <c r="AB286" s="63"/>
    </row>
    <row r="287" spans="2:28" x14ac:dyDescent="0.25">
      <c r="B287" s="59"/>
      <c r="C287" s="59"/>
      <c r="D287" s="59"/>
      <c r="E287" s="59"/>
      <c r="F287" s="59"/>
      <c r="G287" s="59"/>
      <c r="H287" s="65"/>
      <c r="I287" s="65"/>
      <c r="J287" s="59"/>
      <c r="K287" s="59"/>
      <c r="L287" s="65"/>
      <c r="M287" s="66"/>
      <c r="N287" s="66"/>
      <c r="O287" s="66"/>
      <c r="P287" s="66"/>
      <c r="Q287" s="59"/>
      <c r="S287" s="59"/>
      <c r="T287" s="59"/>
      <c r="U287" s="59"/>
      <c r="V287" s="63"/>
      <c r="W287" s="63"/>
      <c r="X287" s="63"/>
      <c r="Y287" s="63"/>
      <c r="Z287" s="63"/>
      <c r="AA287" s="63"/>
      <c r="AB287" s="63"/>
    </row>
    <row r="288" spans="2:28" x14ac:dyDescent="0.25">
      <c r="B288" s="59"/>
      <c r="C288" s="59"/>
      <c r="D288" s="59"/>
      <c r="E288" s="59"/>
      <c r="F288" s="59"/>
      <c r="G288" s="59"/>
      <c r="H288" s="65"/>
      <c r="I288" s="65"/>
      <c r="J288" s="59"/>
      <c r="K288" s="59"/>
      <c r="L288" s="65"/>
      <c r="M288" s="66"/>
      <c r="N288" s="66"/>
      <c r="O288" s="66"/>
      <c r="P288" s="66"/>
      <c r="Q288" s="59"/>
      <c r="S288" s="59"/>
      <c r="T288" s="59"/>
      <c r="U288" s="59"/>
      <c r="V288" s="63"/>
      <c r="W288" s="63"/>
      <c r="X288" s="63"/>
      <c r="Y288" s="63"/>
      <c r="Z288" s="63"/>
      <c r="AA288" s="63"/>
      <c r="AB288" s="63"/>
    </row>
    <row r="289" spans="2:28" x14ac:dyDescent="0.25">
      <c r="B289" s="59"/>
      <c r="C289" s="59"/>
      <c r="D289" s="59"/>
      <c r="E289" s="59"/>
      <c r="F289" s="59"/>
      <c r="G289" s="59"/>
      <c r="H289" s="65"/>
      <c r="I289" s="65"/>
      <c r="J289" s="59"/>
      <c r="K289" s="59"/>
      <c r="L289" s="65"/>
      <c r="M289" s="66"/>
      <c r="N289" s="66"/>
      <c r="O289" s="66"/>
      <c r="P289" s="66"/>
      <c r="Q289" s="59"/>
      <c r="S289" s="59"/>
      <c r="T289" s="59"/>
      <c r="U289" s="59"/>
      <c r="V289" s="63"/>
      <c r="W289" s="63"/>
      <c r="X289" s="63"/>
      <c r="Y289" s="63"/>
      <c r="Z289" s="63"/>
      <c r="AA289" s="63"/>
      <c r="AB289" s="63"/>
    </row>
    <row r="290" spans="2:28" x14ac:dyDescent="0.25">
      <c r="B290" s="59"/>
      <c r="C290" s="59"/>
      <c r="D290" s="59"/>
      <c r="E290" s="59"/>
      <c r="F290" s="59"/>
      <c r="G290" s="59"/>
      <c r="H290" s="65"/>
      <c r="I290" s="65"/>
      <c r="J290" s="59"/>
      <c r="K290" s="59"/>
      <c r="L290" s="65"/>
      <c r="M290" s="66"/>
      <c r="N290" s="66"/>
      <c r="O290" s="66"/>
      <c r="P290" s="66"/>
      <c r="Q290" s="59"/>
      <c r="S290" s="59"/>
      <c r="T290" s="59"/>
      <c r="U290" s="59"/>
      <c r="V290" s="63"/>
      <c r="W290" s="63"/>
      <c r="X290" s="63"/>
      <c r="Y290" s="63"/>
      <c r="Z290" s="63"/>
      <c r="AA290" s="63"/>
      <c r="AB290" s="63"/>
    </row>
    <row r="291" spans="2:28" x14ac:dyDescent="0.25">
      <c r="B291" s="59"/>
      <c r="C291" s="59"/>
      <c r="D291" s="59"/>
      <c r="E291" s="59"/>
      <c r="F291" s="59"/>
      <c r="G291" s="59"/>
      <c r="H291" s="65"/>
      <c r="I291" s="65"/>
      <c r="J291" s="59"/>
      <c r="K291" s="59"/>
      <c r="L291" s="65"/>
      <c r="M291" s="66"/>
      <c r="N291" s="66"/>
      <c r="O291" s="66"/>
      <c r="P291" s="66"/>
      <c r="Q291" s="59"/>
      <c r="S291" s="59"/>
      <c r="T291" s="59"/>
      <c r="U291" s="59"/>
      <c r="V291" s="63"/>
      <c r="W291" s="63"/>
      <c r="X291" s="63"/>
      <c r="Y291" s="63"/>
      <c r="Z291" s="63"/>
      <c r="AA291" s="63"/>
      <c r="AB291" s="63"/>
    </row>
    <row r="292" spans="2:28" x14ac:dyDescent="0.25">
      <c r="B292" s="59"/>
      <c r="C292" s="59"/>
      <c r="D292" s="59"/>
      <c r="E292" s="59"/>
      <c r="F292" s="59"/>
      <c r="G292" s="59"/>
      <c r="H292" s="65"/>
      <c r="I292" s="65"/>
      <c r="J292" s="59"/>
      <c r="K292" s="59"/>
      <c r="L292" s="65"/>
      <c r="M292" s="66"/>
      <c r="N292" s="66"/>
      <c r="O292" s="66"/>
      <c r="P292" s="66"/>
      <c r="Q292" s="59"/>
      <c r="S292" s="59"/>
      <c r="T292" s="59"/>
      <c r="U292" s="59"/>
      <c r="V292" s="63"/>
      <c r="W292" s="63"/>
      <c r="X292" s="63"/>
      <c r="Y292" s="63"/>
      <c r="Z292" s="63"/>
      <c r="AA292" s="63"/>
      <c r="AB292" s="63"/>
    </row>
    <row r="293" spans="2:28" x14ac:dyDescent="0.25">
      <c r="B293" s="59"/>
      <c r="C293" s="59"/>
      <c r="D293" s="59"/>
      <c r="E293" s="59"/>
      <c r="F293" s="59"/>
      <c r="G293" s="59"/>
      <c r="H293" s="65"/>
      <c r="I293" s="65"/>
      <c r="J293" s="59"/>
      <c r="K293" s="59"/>
      <c r="L293" s="65"/>
      <c r="M293" s="66"/>
      <c r="N293" s="66"/>
      <c r="O293" s="66"/>
      <c r="P293" s="66"/>
      <c r="Q293" s="59"/>
      <c r="S293" s="59"/>
      <c r="T293" s="59"/>
      <c r="U293" s="59"/>
      <c r="V293" s="63"/>
      <c r="W293" s="63"/>
      <c r="X293" s="63"/>
      <c r="Y293" s="63"/>
      <c r="Z293" s="63"/>
      <c r="AA293" s="63"/>
      <c r="AB293" s="63"/>
    </row>
    <row r="294" spans="2:28" x14ac:dyDescent="0.25">
      <c r="B294" s="59"/>
      <c r="C294" s="59"/>
      <c r="D294" s="59"/>
      <c r="E294" s="59"/>
      <c r="F294" s="59"/>
      <c r="G294" s="59"/>
      <c r="H294" s="65"/>
      <c r="I294" s="65"/>
      <c r="J294" s="59"/>
      <c r="K294" s="59"/>
      <c r="L294" s="65"/>
      <c r="M294" s="66"/>
      <c r="N294" s="66"/>
      <c r="O294" s="66"/>
      <c r="P294" s="66"/>
      <c r="Q294" s="59"/>
      <c r="S294" s="59"/>
      <c r="T294" s="59"/>
      <c r="U294" s="59"/>
      <c r="V294" s="63"/>
      <c r="W294" s="63"/>
      <c r="X294" s="63"/>
      <c r="Y294" s="63"/>
      <c r="Z294" s="63"/>
      <c r="AA294" s="63"/>
      <c r="AB294" s="63"/>
    </row>
    <row r="295" spans="2:28" x14ac:dyDescent="0.25">
      <c r="B295" s="59"/>
      <c r="C295" s="59"/>
      <c r="D295" s="59"/>
      <c r="E295" s="59"/>
      <c r="F295" s="59"/>
      <c r="G295" s="59"/>
      <c r="H295" s="65"/>
      <c r="I295" s="65"/>
      <c r="J295" s="59"/>
      <c r="K295" s="59"/>
      <c r="L295" s="65"/>
      <c r="M295" s="66"/>
      <c r="N295" s="66"/>
      <c r="O295" s="66"/>
      <c r="P295" s="66"/>
      <c r="Q295" s="59"/>
      <c r="S295" s="59"/>
      <c r="T295" s="59"/>
      <c r="U295" s="59"/>
      <c r="V295" s="63"/>
      <c r="W295" s="63"/>
      <c r="X295" s="63"/>
      <c r="Y295" s="63"/>
      <c r="Z295" s="63"/>
      <c r="AA295" s="63"/>
      <c r="AB295" s="63"/>
    </row>
    <row r="296" spans="2:28" x14ac:dyDescent="0.25">
      <c r="B296" s="59"/>
      <c r="C296" s="59"/>
      <c r="D296" s="59"/>
      <c r="E296" s="59"/>
      <c r="F296" s="59"/>
      <c r="G296" s="59"/>
      <c r="H296" s="65"/>
      <c r="I296" s="65"/>
      <c r="J296" s="59"/>
      <c r="K296" s="59"/>
      <c r="L296" s="65"/>
      <c r="M296" s="66"/>
      <c r="N296" s="66"/>
      <c r="O296" s="66"/>
      <c r="P296" s="66"/>
      <c r="Q296" s="59"/>
      <c r="S296" s="59"/>
      <c r="T296" s="59"/>
      <c r="U296" s="59"/>
      <c r="V296" s="63"/>
      <c r="W296" s="63"/>
      <c r="X296" s="63"/>
      <c r="Y296" s="63"/>
      <c r="Z296" s="63"/>
      <c r="AA296" s="63"/>
      <c r="AB296" s="63"/>
    </row>
    <row r="297" spans="2:28" x14ac:dyDescent="0.25">
      <c r="B297" s="59"/>
      <c r="C297" s="59"/>
      <c r="D297" s="59"/>
      <c r="E297" s="59"/>
      <c r="F297" s="59"/>
      <c r="G297" s="59"/>
      <c r="H297" s="65"/>
      <c r="I297" s="65"/>
      <c r="J297" s="59"/>
      <c r="K297" s="59"/>
      <c r="L297" s="65"/>
      <c r="M297" s="66"/>
      <c r="N297" s="66"/>
      <c r="O297" s="66"/>
      <c r="P297" s="66"/>
      <c r="Q297" s="59"/>
      <c r="S297" s="59"/>
      <c r="T297" s="59"/>
      <c r="U297" s="59"/>
      <c r="V297" s="63"/>
      <c r="W297" s="63"/>
      <c r="X297" s="63"/>
      <c r="Y297" s="63"/>
      <c r="Z297" s="63"/>
      <c r="AA297" s="63"/>
      <c r="AB297" s="63"/>
    </row>
  </sheetData>
  <sheetProtection algorithmName="SHA-512" hashValue="N/87DJzTfDZXu8Oa+JyZOfZp5GRhggCVtF3fBvFWotc8uqx9pqYKa4PkI24g0HvHUNk+6NpQNAezMR5PJvy0aQ==" saltValue="5FRkgTRSCF54x4nhRglR4A==" spinCount="100000" sheet="1" objects="1" scenarios="1"/>
  <mergeCells count="14">
    <mergeCell ref="B110:AB110"/>
    <mergeCell ref="S3:AB3"/>
    <mergeCell ref="B2:P2"/>
    <mergeCell ref="J3:K3"/>
    <mergeCell ref="S76:AB76"/>
    <mergeCell ref="S108:AB108"/>
    <mergeCell ref="O76:P76"/>
    <mergeCell ref="S106:AB107"/>
    <mergeCell ref="S91:AB94"/>
    <mergeCell ref="S95:AB99"/>
    <mergeCell ref="S100:AB101"/>
    <mergeCell ref="S102:AB103"/>
    <mergeCell ref="S104:AB105"/>
    <mergeCell ref="S2:AB2"/>
  </mergeCells>
  <phoneticPr fontId="29" type="noConversion"/>
  <conditionalFormatting sqref="H4:I75 H77:I108 L77:L108">
    <cfRule type="expression" dxfId="14" priority="179">
      <formula>$J4&lt;$K4</formula>
    </cfRule>
    <cfRule type="expression" dxfId="13" priority="180">
      <formula>$J4&gt;$K4</formula>
    </cfRule>
  </conditionalFormatting>
  <conditionalFormatting sqref="J4:K75">
    <cfRule type="expression" dxfId="12" priority="193">
      <formula>ISTEXT(J4)</formula>
    </cfRule>
  </conditionalFormatting>
  <conditionalFormatting sqref="J77:K108">
    <cfRule type="expression" dxfId="11" priority="1">
      <formula>ISTEXT(J77)</formula>
    </cfRule>
  </conditionalFormatting>
  <conditionalFormatting sqref="L4:L75">
    <cfRule type="expression" dxfId="10" priority="175">
      <formula>$J4&lt;$K4</formula>
    </cfRule>
    <cfRule type="expression" dxfId="9" priority="176">
      <formula>$J4&gt;$K4</formula>
    </cfRule>
  </conditionalFormatting>
  <conditionalFormatting sqref="M4:M75">
    <cfRule type="expression" dxfId="8" priority="177">
      <formula>$J4&gt;$K4</formula>
    </cfRule>
    <cfRule type="expression" dxfId="7" priority="178">
      <formula>$J4&lt;$K4</formula>
    </cfRule>
  </conditionalFormatting>
  <conditionalFormatting sqref="M77:M108">
    <cfRule type="expression" dxfId="6" priority="17">
      <formula>$J77&gt;$K77</formula>
    </cfRule>
    <cfRule type="expression" dxfId="5" priority="18">
      <formula>$J77&lt;$K77</formula>
    </cfRule>
  </conditionalFormatting>
  <conditionalFormatting sqref="O77:P108">
    <cfRule type="expression" dxfId="4" priority="3">
      <formula>AND($J77&lt;&gt;"",$K77&lt;&gt;"",$J77=$K77)</formula>
    </cfRule>
  </conditionalFormatting>
  <conditionalFormatting sqref="R51:AB51 R52:R56 R57:AB57 R58:R62 R63:AB63 R64:R68 R69:AB69 R70:R74 R75:AB75 S91 S95 S100 S102 S104 S106">
    <cfRule type="expression" dxfId="3" priority="194">
      <formula>$S$108&lt;&gt;"© 2025 | journalSHEET.com"</formula>
    </cfRule>
  </conditionalFormatting>
  <hyperlinks>
    <hyperlink ref="S2:AB2" r:id="rId1" display="https://journalsheet.com/product/js847-ss-xl-%e2%97%89-fifa-world-cup-2026-predictor-game" xr:uid="{09AD669A-2E54-44D1-9C89-DDEA73FA4EAC}"/>
    <hyperlink ref="B110:AB110" r:id="rId2" display="PURCHASE UNPROTECTED SCHEDULE &amp; SCORESHEET. MORE MODELS. WORKS ON GOOGLE SPREADSHEET. CLICK HERE" xr:uid="{1DDB05ED-3A10-4CB5-AF3D-221ABF53CBFA}"/>
  </hyperlinks>
  <printOptions horizontalCentered="1"/>
  <pageMargins left="0.25" right="0.25" top="0.2" bottom="0.2" header="0.21" footer="0.2"/>
  <pageSetup scale="80" fitToHeight="0" orientation="landscape" horizontalDpi="300" verticalDpi="300" r:id="rId3"/>
  <headerFooter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F684"/>
  <sheetViews>
    <sheetView showGridLines="0" topLeftCell="DV1" zoomScaleNormal="100" workbookViewId="0">
      <selection activeCell="EA12" sqref="EA12"/>
    </sheetView>
  </sheetViews>
  <sheetFormatPr defaultColWidth="9.140625" defaultRowHeight="15" x14ac:dyDescent="0.25"/>
  <cols>
    <col min="1" max="1" width="9.140625" style="230"/>
    <col min="2" max="2" width="4.140625" style="231" customWidth="1"/>
    <col min="3" max="3" width="15.42578125" style="232" bestFit="1" customWidth="1"/>
    <col min="4" max="10" width="5.7109375" style="231" customWidth="1"/>
    <col min="11" max="11" width="10.42578125" style="231" bestFit="1" customWidth="1"/>
    <col min="12" max="12" width="13.140625" style="231" bestFit="1" customWidth="1"/>
    <col min="13" max="14" width="5.7109375" style="231" customWidth="1"/>
    <col min="15" max="15" width="15.42578125" style="232" bestFit="1" customWidth="1"/>
    <col min="16" max="16" width="5.5703125" style="231" bestFit="1" customWidth="1"/>
    <col min="17" max="17" width="15.42578125" style="231" bestFit="1" customWidth="1"/>
    <col min="18" max="18" width="9" style="231" bestFit="1" customWidth="1"/>
    <col min="19" max="20" width="6" style="231" bestFit="1" customWidth="1"/>
    <col min="21" max="21" width="5.7109375" style="231" customWidth="1"/>
    <col min="22" max="22" width="13.140625" style="231" bestFit="1" customWidth="1"/>
    <col min="23" max="40" width="5.7109375" style="231" customWidth="1"/>
    <col min="41" max="41" width="12" style="231" bestFit="1" customWidth="1"/>
    <col min="42" max="42" width="13.140625" style="231" bestFit="1" customWidth="1"/>
    <col min="43" max="59" width="5.7109375" style="231" customWidth="1"/>
    <col min="60" max="60" width="2.85546875" style="231" bestFit="1" customWidth="1"/>
    <col min="61" max="61" width="7.7109375" style="231" bestFit="1" customWidth="1"/>
    <col min="62" max="62" width="10.5703125" style="231" bestFit="1" customWidth="1"/>
    <col min="63" max="80" width="5.7109375" style="231" customWidth="1"/>
    <col min="81" max="81" width="16.5703125" style="231" bestFit="1" customWidth="1"/>
    <col min="82" max="82" width="10.5703125" style="231" bestFit="1" customWidth="1"/>
    <col min="83" max="100" width="5.7109375" style="231" customWidth="1"/>
    <col min="101" max="101" width="2.85546875" style="231" customWidth="1"/>
    <col min="102" max="102" width="15.42578125" style="231" bestFit="1" customWidth="1"/>
    <col min="103" max="103" width="1.85546875" style="231" bestFit="1" customWidth="1"/>
    <col min="104" max="104" width="2.85546875" style="231" bestFit="1" customWidth="1"/>
    <col min="105" max="105" width="15.42578125" style="231" bestFit="1" customWidth="1"/>
    <col min="106" max="106" width="3.140625" style="231" bestFit="1" customWidth="1"/>
    <col min="107" max="107" width="3.42578125" style="231" bestFit="1" customWidth="1"/>
    <col min="108" max="108" width="15.42578125" style="231" bestFit="1" customWidth="1"/>
    <col min="109" max="110" width="2.5703125" style="231" bestFit="1" customWidth="1"/>
    <col min="111" max="113" width="2.85546875" style="231" customWidth="1"/>
    <col min="114" max="118" width="9.140625" style="231"/>
    <col min="119" max="120" width="9.140625" style="230"/>
    <col min="121" max="121" width="9.85546875" style="233" customWidth="1"/>
    <col min="122" max="122" width="3" style="233" customWidth="1"/>
    <col min="123" max="123" width="23" style="233" customWidth="1"/>
    <col min="124" max="124" width="30.85546875" style="233" customWidth="1"/>
    <col min="125" max="125" width="40.85546875" style="233" customWidth="1"/>
    <col min="126" max="126" width="4.7109375" style="233" bestFit="1" customWidth="1"/>
    <col min="127" max="127" width="9.28515625" style="233" bestFit="1" customWidth="1"/>
    <col min="128" max="128" width="13.5703125" style="233" customWidth="1"/>
    <col min="129" max="130" width="9.42578125" style="233" bestFit="1" customWidth="1"/>
    <col min="131" max="132" width="13.5703125" style="233" bestFit="1" customWidth="1"/>
    <col min="133" max="133" width="13.5703125" style="233" customWidth="1"/>
    <col min="134" max="134" width="9.42578125" style="233" bestFit="1" customWidth="1"/>
    <col min="135" max="136" width="9.140625" style="233"/>
    <col min="137" max="16384" width="9.140625" style="230"/>
  </cols>
  <sheetData>
    <row r="1" spans="1:135" x14ac:dyDescent="0.25">
      <c r="AH1" s="231" t="s">
        <v>432</v>
      </c>
    </row>
    <row r="2" spans="1:135" x14ac:dyDescent="0.25">
      <c r="V2" s="231" t="s">
        <v>433</v>
      </c>
      <c r="AH2" s="231">
        <v>1</v>
      </c>
      <c r="AI2" s="231">
        <v>2</v>
      </c>
      <c r="AJ2" s="231">
        <v>3</v>
      </c>
      <c r="AK2" s="231">
        <v>5</v>
      </c>
      <c r="AL2" s="231">
        <v>6</v>
      </c>
      <c r="AM2" s="231">
        <v>9</v>
      </c>
      <c r="AP2" s="231" t="s">
        <v>434</v>
      </c>
      <c r="BJ2" s="231" t="s">
        <v>435</v>
      </c>
      <c r="CD2" s="231" t="s">
        <v>436</v>
      </c>
      <c r="DA2" s="231">
        <f>INDEX(Matches!D4:D109,MATCH(105,Matches!B4:B109,0),0)</f>
        <v>0</v>
      </c>
      <c r="DB2" s="231" t="s">
        <v>437</v>
      </c>
      <c r="DC2" s="231" t="s">
        <v>438</v>
      </c>
    </row>
    <row r="3" spans="1:135" x14ac:dyDescent="0.25">
      <c r="B3" s="234"/>
      <c r="C3" s="235"/>
      <c r="D3" s="234" t="s">
        <v>68</v>
      </c>
      <c r="E3" s="234" t="s">
        <v>69</v>
      </c>
      <c r="F3" s="234" t="s">
        <v>70</v>
      </c>
      <c r="G3" s="234" t="s">
        <v>437</v>
      </c>
      <c r="H3" s="234" t="s">
        <v>438</v>
      </c>
      <c r="I3" s="234" t="s">
        <v>439</v>
      </c>
      <c r="J3" s="234" t="s">
        <v>440</v>
      </c>
      <c r="K3" s="234" t="s">
        <v>441</v>
      </c>
      <c r="L3" s="234" t="s">
        <v>442</v>
      </c>
      <c r="M3" s="234"/>
      <c r="N3" s="234" t="s">
        <v>443</v>
      </c>
      <c r="O3" s="235"/>
      <c r="P3" s="234"/>
      <c r="Q3" s="234" t="s">
        <v>444</v>
      </c>
      <c r="R3" s="234" t="s">
        <v>445</v>
      </c>
      <c r="S3" s="234" t="s">
        <v>446</v>
      </c>
      <c r="T3" s="234" t="s">
        <v>447</v>
      </c>
      <c r="U3" s="234"/>
      <c r="V3" s="234" t="s">
        <v>448</v>
      </c>
      <c r="W3" s="234" t="s">
        <v>68</v>
      </c>
      <c r="X3" s="234" t="s">
        <v>69</v>
      </c>
      <c r="Y3" s="234" t="s">
        <v>70</v>
      </c>
      <c r="Z3" s="234" t="s">
        <v>437</v>
      </c>
      <c r="AA3" s="234" t="s">
        <v>438</v>
      </c>
      <c r="AB3" s="234" t="s">
        <v>439</v>
      </c>
      <c r="AC3" s="234" t="s">
        <v>67</v>
      </c>
      <c r="AD3" s="234" t="s">
        <v>449</v>
      </c>
      <c r="AE3" s="234" t="s">
        <v>450</v>
      </c>
      <c r="AF3" s="234" t="s">
        <v>451</v>
      </c>
      <c r="AG3" s="234" t="s">
        <v>452</v>
      </c>
      <c r="AH3" s="234" t="s">
        <v>453</v>
      </c>
      <c r="AI3" s="234" t="s">
        <v>454</v>
      </c>
      <c r="AJ3" s="234" t="s">
        <v>437</v>
      </c>
      <c r="AK3" s="234" t="s">
        <v>455</v>
      </c>
      <c r="AL3" s="234" t="s">
        <v>450</v>
      </c>
      <c r="AM3" s="234" t="s">
        <v>451</v>
      </c>
      <c r="AN3" s="234" t="s">
        <v>456</v>
      </c>
      <c r="AO3" s="234"/>
      <c r="AP3" s="234" t="s">
        <v>448</v>
      </c>
      <c r="AQ3" s="234" t="s">
        <v>68</v>
      </c>
      <c r="AR3" s="234" t="s">
        <v>69</v>
      </c>
      <c r="AS3" s="234" t="s">
        <v>70</v>
      </c>
      <c r="AT3" s="234" t="s">
        <v>437</v>
      </c>
      <c r="AU3" s="234" t="s">
        <v>438</v>
      </c>
      <c r="AV3" s="234" t="s">
        <v>439</v>
      </c>
      <c r="AW3" s="234" t="s">
        <v>67</v>
      </c>
      <c r="AX3" s="234" t="s">
        <v>449</v>
      </c>
      <c r="AY3" s="234" t="s">
        <v>450</v>
      </c>
      <c r="AZ3" s="234" t="s">
        <v>451</v>
      </c>
      <c r="BA3" s="234" t="s">
        <v>452</v>
      </c>
      <c r="BB3" s="234" t="s">
        <v>453</v>
      </c>
      <c r="BC3" s="234" t="s">
        <v>454</v>
      </c>
      <c r="BD3" s="234" t="s">
        <v>437</v>
      </c>
      <c r="BE3" s="234" t="s">
        <v>455</v>
      </c>
      <c r="BF3" s="234" t="s">
        <v>450</v>
      </c>
      <c r="BG3" s="234" t="s">
        <v>451</v>
      </c>
      <c r="BH3" s="234" t="s">
        <v>456</v>
      </c>
      <c r="BI3" s="234"/>
      <c r="BJ3" s="234" t="s">
        <v>448</v>
      </c>
      <c r="BK3" s="234" t="s">
        <v>68</v>
      </c>
      <c r="BL3" s="234" t="s">
        <v>69</v>
      </c>
      <c r="BM3" s="234" t="s">
        <v>70</v>
      </c>
      <c r="BN3" s="234" t="s">
        <v>437</v>
      </c>
      <c r="BO3" s="234" t="s">
        <v>438</v>
      </c>
      <c r="BP3" s="234" t="s">
        <v>439</v>
      </c>
      <c r="BQ3" s="234" t="s">
        <v>67</v>
      </c>
      <c r="BR3" s="234" t="s">
        <v>449</v>
      </c>
      <c r="BS3" s="234" t="s">
        <v>450</v>
      </c>
      <c r="BT3" s="234" t="s">
        <v>451</v>
      </c>
      <c r="BU3" s="234" t="s">
        <v>452</v>
      </c>
      <c r="BV3" s="234" t="s">
        <v>453</v>
      </c>
      <c r="BW3" s="234" t="s">
        <v>454</v>
      </c>
      <c r="BX3" s="234" t="s">
        <v>437</v>
      </c>
      <c r="BY3" s="234" t="s">
        <v>449</v>
      </c>
      <c r="BZ3" s="234" t="s">
        <v>450</v>
      </c>
      <c r="CA3" s="234" t="s">
        <v>451</v>
      </c>
      <c r="CB3" s="234" t="s">
        <v>456</v>
      </c>
      <c r="CC3" s="234"/>
      <c r="CD3" s="234" t="s">
        <v>448</v>
      </c>
      <c r="CE3" s="234" t="s">
        <v>68</v>
      </c>
      <c r="CF3" s="234" t="s">
        <v>69</v>
      </c>
      <c r="CG3" s="234" t="s">
        <v>70</v>
      </c>
      <c r="CH3" s="234" t="s">
        <v>437</v>
      </c>
      <c r="CI3" s="234" t="s">
        <v>438</v>
      </c>
      <c r="CJ3" s="234" t="s">
        <v>439</v>
      </c>
      <c r="CK3" s="234" t="s">
        <v>67</v>
      </c>
      <c r="CL3" s="234" t="s">
        <v>449</v>
      </c>
      <c r="CM3" s="234" t="s">
        <v>450</v>
      </c>
      <c r="CN3" s="234" t="s">
        <v>451</v>
      </c>
      <c r="CO3" s="234" t="s">
        <v>452</v>
      </c>
      <c r="CP3" s="234" t="s">
        <v>453</v>
      </c>
      <c r="CQ3" s="234" t="s">
        <v>454</v>
      </c>
      <c r="CR3" s="234" t="s">
        <v>437</v>
      </c>
      <c r="CS3" s="234" t="s">
        <v>449</v>
      </c>
      <c r="CT3" s="234" t="s">
        <v>450</v>
      </c>
      <c r="CU3" s="234" t="s">
        <v>451</v>
      </c>
      <c r="CV3" s="234" t="s">
        <v>456</v>
      </c>
      <c r="CW3" s="234"/>
      <c r="CX3" s="234"/>
      <c r="CY3" s="234"/>
      <c r="CZ3" s="234">
        <v>1</v>
      </c>
      <c r="DA3" s="234" t="str">
        <f>Matches!H4</f>
        <v>Mexico</v>
      </c>
      <c r="DB3" s="234">
        <f>IF($DA$2&lt;&gt;"",IF(AND(Matches!J4&lt;&gt;"",Matches!K4&lt;&gt;""),Matches!J4,0),"")</f>
        <v>0</v>
      </c>
      <c r="DC3" s="234">
        <f>IF($DA$2&lt;&gt;"",IF(AND(Matches!J4&lt;&gt;"",Matches!K4&lt;&gt;""),Matches!K4,0),"")</f>
        <v>0</v>
      </c>
      <c r="DD3" s="234" t="str">
        <f>Matches!M4</f>
        <v>South Africa</v>
      </c>
      <c r="DE3" s="234" t="str">
        <f>IF(AND(Matches!J4&lt;&gt;"",Matches!K4&lt;&gt;""),IF(DB3&gt;DC3,"W",IF(DB3=DC3,"D","L")),"")</f>
        <v/>
      </c>
      <c r="DF3" s="234" t="str">
        <f>IF(DE3&lt;&gt;"",IF(DE3="W","L",IF(DE3="L","W","D")),"")</f>
        <v/>
      </c>
      <c r="DG3" s="234"/>
      <c r="DH3" s="234"/>
      <c r="DI3" s="234"/>
      <c r="DJ3" s="234"/>
      <c r="DK3" s="234"/>
      <c r="DL3" s="234"/>
      <c r="DM3" s="234"/>
      <c r="DN3" s="234"/>
    </row>
    <row r="4" spans="1:135" x14ac:dyDescent="0.25">
      <c r="A4" s="230">
        <f>Setup!F8+100</f>
        <v>116</v>
      </c>
      <c r="B4" s="231">
        <f>VLOOKUP(C4,CX$4:CY$8,2,FALSE)</f>
        <v>1</v>
      </c>
      <c r="C4" s="232" t="str">
        <f>EE7</f>
        <v>Mexico</v>
      </c>
      <c r="D4" s="231">
        <f>SUMPRODUCT((DA$3:DA$105=C4)*(DE$3:DE$105="W"))+SUMPRODUCT((DD$3:DD$105=C4)*(DF$3:DF$105="W"))</f>
        <v>0</v>
      </c>
      <c r="E4" s="231">
        <f>SUMPRODUCT((DA$3:DA$105=C4)*(DE$3:DE$105="D"))+SUMPRODUCT((DD$3:DD$105=C4)*(DF$3:DF$105="D"))</f>
        <v>0</v>
      </c>
      <c r="F4" s="231">
        <f>SUMPRODUCT((DA$3:DA$105=C4)*(DE$3:DE$105="L"))+SUMPRODUCT((DD$3:DD$105=C4)*(DF$3:DF$105="L"))</f>
        <v>0</v>
      </c>
      <c r="G4" s="231">
        <f>SUMIF(DA3:DA123,C4,DB3:DB123)+SUMIF(DD3:DD123,C4,DC3:DC123)</f>
        <v>0</v>
      </c>
      <c r="H4" s="231">
        <f>SUMIF(DD3:DD123,C4,DB3:DB123)+SUMIF(DA3:DA123,C4,DC3:DC123)</f>
        <v>0</v>
      </c>
      <c r="I4" s="231">
        <f>G4-H4+1000</f>
        <v>1000</v>
      </c>
      <c r="J4" s="231">
        <f>D4*3+E4*1</f>
        <v>0</v>
      </c>
      <c r="K4" s="231">
        <f>IF(Setup!G8&lt;&gt;"",Setup!G8,-A4)</f>
        <v>-116</v>
      </c>
      <c r="L4" s="231">
        <f>IF(COUNTIF(J4:J8,4)&lt;&gt;4,RANK(J4,J4:J8),J83)</f>
        <v>1</v>
      </c>
      <c r="N4" s="231">
        <f>SUMPRODUCT((L4:L7=L4)*(K4:K7&lt;K4))+L4</f>
        <v>4</v>
      </c>
      <c r="O4" s="232" t="str">
        <f>INDEX(C4:C8,MATCH(1,N4:N8,0),0)</f>
        <v>South Africa</v>
      </c>
      <c r="P4" s="231">
        <f>INDEX(L4:L8,MATCH(O4,C4:C8,0),0)</f>
        <v>1</v>
      </c>
      <c r="Q4" s="231" t="str">
        <f>IF(P5=1,O4,"")</f>
        <v>South Africa</v>
      </c>
      <c r="R4" s="231" t="str">
        <f>IF(P6=2,O5,"")</f>
        <v/>
      </c>
      <c r="S4" s="231" t="str">
        <f>IF(P7=3,O6,"")</f>
        <v/>
      </c>
      <c r="T4" s="231" t="str">
        <f>IF(P8=4,O7,"")</f>
        <v/>
      </c>
      <c r="V4" s="231" t="str">
        <f>IF(Q4&lt;&gt;"",Q4,"")</f>
        <v>South Africa</v>
      </c>
      <c r="W4" s="231">
        <f>SUMPRODUCT((DA$3:DA$105=V4)*(DD$3:DD$105=V5)*(DE$3:DE$105="W"))+SUMPRODUCT((DA$3:DA$105=V4)*(DD$3:DD$105=V6)*(DE$3:DE$105="W"))+SUMPRODUCT((DA$3:DA$105=V4)*(DD$3:DD$105=V7)*(DE$3:DE$105="W"))+SUMPRODUCT((DA$3:DA$105=V4)*(DD$3:DD$105=V8)*(DE$3:DE$105="W"))+SUMPRODUCT((DA$3:DA$105=V5)*(DD$3:DD$105=V4)*(DF$3:DF$105="W"))+SUMPRODUCT((DA$3:DA$105=V6)*(DD$3:DD$105=V4)*(DF$3:DF$105="W"))+SUMPRODUCT((DA$3:DA$105=V7)*(DD$3:DD$105=V4)*(DF$3:DF$105="W"))+SUMPRODUCT((DA$3:DA$105=V8)*(DD$3:DD$105=V4)*(DF$3:DF$105="W"))</f>
        <v>0</v>
      </c>
      <c r="X4" s="231">
        <f>SUMPRODUCT((DA$3:DA$105=V4)*(DD$3:DD$105=V5)*(DE$3:DE$105="D"))+SUMPRODUCT((DA$3:DA$105=V4)*(DD$3:DD$105=V6)*(DE$3:DE$105="D"))+SUMPRODUCT((DA$3:DA$105=V4)*(DD$3:DD$105=V7)*(DE$3:DE$105="D"))+SUMPRODUCT((DA$3:DA$105=V4)*(DD$3:DD$105=V8)*(DE$3:DE$105="D"))+SUMPRODUCT((DA$3:DA$105=V5)*(DD$3:DD$105=V4)*(DE$3:DE$105="D"))+SUMPRODUCT((DA$3:DA$105=V6)*(DD$3:DD$105=V4)*(DE$3:DE$105="D"))+SUMPRODUCT((DA$3:DA$105=V7)*(DD$3:DD$105=V4)*(DE$3:DE$105="D"))+SUMPRODUCT((DA$3:DA$105=V8)*(DD$3:DD$105=V4)*(DE$3:DE$105="D"))</f>
        <v>0</v>
      </c>
      <c r="Y4" s="231">
        <f>SUMPRODUCT((DA$3:DA$105=V4)*(DD$3:DD$105=V5)*(DE$3:DE$105="L"))+SUMPRODUCT((DA$3:DA$105=V4)*(DD$3:DD$105=V6)*(DE$3:DE$105="L"))+SUMPRODUCT((DA$3:DA$105=V4)*(DD$3:DD$105=V7)*(DE$3:DE$105="L"))+SUMPRODUCT((DA$3:DA$105=V4)*(DD$3:DD$105=V8)*(DE$3:DE$105="L"))+SUMPRODUCT((DA$3:DA$105=V5)*(DD$3:DD$105=V4)*(DF$3:DF$105="L"))+SUMPRODUCT((DA$3:DA$105=V6)*(DD$3:DD$105=V4)*(DF$3:DF$105="L"))+SUMPRODUCT((DA$3:DA$105=V7)*(DD$3:DD$105=V4)*(DF$3:DF$105="L"))+SUMPRODUCT((DA$3:DA$105=V8)*(DD$3:DD$105=V4)*(DF$3:DF$105="L"))</f>
        <v>0</v>
      </c>
      <c r="Z4" s="231">
        <f>SUMPRODUCT((DA$3:DA$105=V4)*(DD$3:DD$105=V5)*DB$3:DB$105)+SUMPRODUCT((DA$3:DA$105=V4)*(DD$3:DD$105=V6)*DB$3:DB$105)+SUMPRODUCT((DA$3:DA$105=V4)*(DD$3:DD$105=V7)*DB$3:DB$105)+SUMPRODUCT((DA$3:DA$105=V4)*(DD$3:DD$105=V8)*DB$3:DB$105)+SUMPRODUCT((DA$3:DA$105=V5)*(DD$3:DD$105=V4)*DC$3:DC$105)+SUMPRODUCT((DA$3:DA$105=V6)*(DD$3:DD$105=V4)*DC$3:DC$105)+SUMPRODUCT((DA$3:DA$105=V7)*(DD$3:DD$105=V4)*DC$3:DC$105)+SUMPRODUCT((DA$3:DA$105=V8)*(DD$3:DD$105=V4)*DC$3:DC$105)</f>
        <v>0</v>
      </c>
      <c r="AA4" s="231">
        <f>SUMPRODUCT((DA$3:DA$105=V4)*(DD$3:DD$105=V5)*DC$3:DC$105)+SUMPRODUCT((DA$3:DA$105=V4)*(DD$3:DD$105=V6)*DC$3:DC$105)+SUMPRODUCT((DA$3:DA$105=V4)*(DD$3:DD$105=V7)*DC$3:DC$105)+SUMPRODUCT((DA$3:DA$105=V4)*(DD$3:DD$105=V8)*DC$3:DC$105)+SUMPRODUCT((DA$3:DA$105=V5)*(DD$3:DD$105=V4)*DB$3:DB$105)+SUMPRODUCT((DA$3:DA$105=V6)*(DD$3:DD$105=V4)*DB$3:DB$105)+SUMPRODUCT((DA$3:DA$105=V7)*(DD$3:DD$105=V4)*DB$3:DB$105)+SUMPRODUCT((DA$3:DA$105=V8)*(DD$3:DD$105=V4)*DB$3:DB$105)</f>
        <v>0</v>
      </c>
      <c r="AB4" s="231">
        <f>Z4-AA4+1000</f>
        <v>1000</v>
      </c>
      <c r="AC4" s="231">
        <f>IF(V4&lt;&gt;"",W4*3+X4*1,"")</f>
        <v>0</v>
      </c>
      <c r="AD4" s="231">
        <f>IF(V4&lt;&gt;"",VLOOKUP(V4,C$4:I$52,7,FALSE),"")</f>
        <v>1000</v>
      </c>
      <c r="AE4" s="231">
        <f>IF(V4&lt;&gt;"",VLOOKUP(V4,C$4:I$52,5,FALSE),"")</f>
        <v>0</v>
      </c>
      <c r="AF4" s="231">
        <f>IF(V4&lt;&gt;"",VLOOKUP(V4,C$4:K$52,9,FALSE),"")</f>
        <v>-160</v>
      </c>
      <c r="AG4" s="231">
        <f>AC4</f>
        <v>0</v>
      </c>
      <c r="AH4" s="231">
        <f>IF(V4&lt;&gt;"",RANK(AG4,AG4:AG8),"")</f>
        <v>1</v>
      </c>
      <c r="AI4" s="231">
        <f>IF(V4&lt;&gt;"",SUMPRODUCT((AG4:AG8=AG4)*(AB4:AB8&gt;AB4)),"")</f>
        <v>0</v>
      </c>
      <c r="AJ4" s="231">
        <f>IF(V4&lt;&gt;"",SUMPRODUCT((AG4:AG8=AG4)*(AB4:AB8=AB4)*(Z4:Z8&gt;Z4)),"")</f>
        <v>0</v>
      </c>
      <c r="AK4" s="231">
        <f>IF(V4&lt;&gt;"",SUMPRODUCT((AG4:AG8=AG4)*(AB4:AB8=AB4)*(Z4:Z8=Z4)*(AD4:AD8&gt;AD4)),"")</f>
        <v>0</v>
      </c>
      <c r="AL4" s="231">
        <f>IF(V4&lt;&gt;"",SUMPRODUCT((AG4:AG8=AG4)*(AB4:AB8=AB4)*(Z4:Z8=Z4)*(AD4:AD8=AD4)*(AE4:AE8&gt;AE4)),"")</f>
        <v>0</v>
      </c>
      <c r="AM4" s="231">
        <f>IF(V4&lt;&gt;"",SUMPRODUCT((AG4:AG8=AG4)*(AB4:AB8=AB4)*(Z4:Z8=Z4)*(AD4:AD8=AD4)*(AE4:AE8=AE4)*(AF4:AF8&gt;AF4)),"")</f>
        <v>3</v>
      </c>
      <c r="AN4" s="231">
        <f>IF(V4&lt;&gt;"",IF(AN83&lt;&gt;"",IF(U82=3,AN83,AN83+U82),SUM(AH4:AM4)),"")</f>
        <v>4</v>
      </c>
      <c r="AO4" s="231" t="str">
        <f>IF(V4&lt;&gt;"",INDEX(V4:V8,MATCH(1,AN4:AN8,0),0),"")</f>
        <v>Mexico</v>
      </c>
      <c r="CX4" s="231" t="str">
        <f>IF(AO4&lt;&gt;"",AO4,O4)</f>
        <v>Mexico</v>
      </c>
      <c r="CY4" s="231">
        <v>1</v>
      </c>
      <c r="CZ4" s="231">
        <v>2</v>
      </c>
      <c r="DA4" s="234" t="str">
        <f>Matches!H5</f>
        <v>Korea Republic</v>
      </c>
      <c r="DB4" s="234">
        <f>IF($DA$2&lt;&gt;"",IF(AND(Matches!J5&lt;&gt;"",Matches!K5&lt;&gt;""),Matches!J5,0),"")</f>
        <v>0</v>
      </c>
      <c r="DC4" s="234">
        <f>IF($DA$2&lt;&gt;"",IF(AND(Matches!J5&lt;&gt;"",Matches!K5&lt;&gt;""),Matches!K5,0),"")</f>
        <v>0</v>
      </c>
      <c r="DD4" s="234" t="str">
        <f>Matches!M5</f>
        <v>Czechia</v>
      </c>
      <c r="DE4" s="234" t="str">
        <f>IF(AND(Matches!J5&lt;&gt;"",Matches!K5&lt;&gt;""),IF(DB4&gt;DC4,"W",IF(DB4=DC4,"D","L")),"")</f>
        <v/>
      </c>
      <c r="DF4" s="231" t="str">
        <f t="shared" ref="DF4:DF49" si="0">IF(DE4&lt;&gt;"",IF(DE4="W","L",IF(DE4="L","W","D")),"")</f>
        <v/>
      </c>
    </row>
    <row r="5" spans="1:135" x14ac:dyDescent="0.25">
      <c r="A5" s="230">
        <f>Setup!F9+100</f>
        <v>160</v>
      </c>
      <c r="B5" s="231">
        <f t="shared" ref="B5:B7" si="1">VLOOKUP(C5,CX$4:CY$8,2,FALSE)</f>
        <v>4</v>
      </c>
      <c r="C5" s="232" t="str">
        <f t="shared" ref="C5:C7" si="2">EE8</f>
        <v>South Africa</v>
      </c>
      <c r="D5" s="231">
        <f>SUMPRODUCT((DA$3:DA$105=C5)*(DE$3:DE$105="W"))+SUMPRODUCT((DD$3:DD$105=C5)*(DF$3:DF$105="W"))</f>
        <v>0</v>
      </c>
      <c r="E5" s="231">
        <f>SUMPRODUCT((DA$3:DA$105=C5)*(DE$3:DE$105="D"))+SUMPRODUCT((DD$3:DD$105=C5)*(DF$3:DF$105="D"))</f>
        <v>0</v>
      </c>
      <c r="F5" s="231">
        <f>SUMPRODUCT((DA$3:DA$105=C5)*(DE$3:DE$105="L"))+SUMPRODUCT((DD$3:DD$105=C5)*(DF$3:DF$105="L"))</f>
        <v>0</v>
      </c>
      <c r="G5" s="231">
        <f>SUMIF(DA3:DA123,C5,DB3:DB123)+SUMIF(DD3:DD123,C5,DC3:DC123)</f>
        <v>0</v>
      </c>
      <c r="H5" s="231">
        <f>SUMIF(DD3:DD123,C5,DB3:DB123)+SUMIF(DA3:DA123,C5,DC3:DC123)</f>
        <v>0</v>
      </c>
      <c r="I5" s="231">
        <f t="shared" ref="I5:I7" si="3">G5-H5+1000</f>
        <v>1000</v>
      </c>
      <c r="J5" s="231">
        <f t="shared" ref="J5:J7" si="4">D5*3+E5*1</f>
        <v>0</v>
      </c>
      <c r="K5" s="231">
        <f>IF(Setup!G9&lt;&gt;"",Setup!G9,-A5)</f>
        <v>-160</v>
      </c>
      <c r="L5" s="231">
        <f>IF(COUNTIF(J4:J8,4)&lt;&gt;4,RANK(J5,J4:J8),J84)</f>
        <v>1</v>
      </c>
      <c r="N5" s="231">
        <f>SUMPRODUCT((L4:L7=L5)*(K4:K7&lt;K5))+L5</f>
        <v>1</v>
      </c>
      <c r="O5" s="232" t="str">
        <f>INDEX(C4:C8,MATCH(2,N4:N8,0),0)</f>
        <v>Czechia</v>
      </c>
      <c r="P5" s="231">
        <f>INDEX(L4:L8,MATCH(O5,C4:C8,0),0)</f>
        <v>1</v>
      </c>
      <c r="Q5" s="231" t="str">
        <f>IF(Q4&lt;&gt;"",O5,"")</f>
        <v>Czechia</v>
      </c>
      <c r="R5" s="231" t="str">
        <f>IF(R4&lt;&gt;"",O6,"")</f>
        <v/>
      </c>
      <c r="S5" s="231" t="str">
        <f>IF(S4&lt;&gt;"",O7,"")</f>
        <v/>
      </c>
      <c r="T5" s="231" t="str">
        <f>IF(T4&lt;&gt;"",O8,"")</f>
        <v/>
      </c>
      <c r="V5" s="231" t="str">
        <f t="shared" ref="V5:V7" si="5">IF(Q5&lt;&gt;"",Q5,"")</f>
        <v>Czechia</v>
      </c>
      <c r="W5" s="231">
        <f>SUMPRODUCT((DA$3:DA$105=V5)*(DD$3:DD$105=V6)*(DE$3:DE$105="W"))+SUMPRODUCT((DA$3:DA$105=V5)*(DD$3:DD$105=V7)*(DE$3:DE$105="W"))+SUMPRODUCT((DA$3:DA$105=V5)*(DD$3:DD$105=V8)*(DE$3:DE$105="W"))+SUMPRODUCT((DA$3:DA$105=V5)*(DD$3:DD$105=V4)*(DE$3:DE$105="W"))+SUMPRODUCT((DA$3:DA$105=V6)*(DD$3:DD$105=V5)*(DF$3:DF$105="W"))+SUMPRODUCT((DA$3:DA$105=V7)*(DD$3:DD$105=V5)*(DF$3:DF$105="W"))+SUMPRODUCT((DA$3:DA$105=V8)*(DD$3:DD$105=V5)*(DF$3:DF$105="W"))+SUMPRODUCT((DA$3:DA$105=V4)*(DD$3:DD$105=V5)*(DF$3:DF$105="W"))</f>
        <v>0</v>
      </c>
      <c r="X5" s="231">
        <f>SUMPRODUCT((DA$3:DA$105=V5)*(DD$3:DD$105=V6)*(DE$3:DE$105="D"))+SUMPRODUCT((DA$3:DA$105=V5)*(DD$3:DD$105=V7)*(DE$3:DE$105="D"))+SUMPRODUCT((DA$3:DA$105=V5)*(DD$3:DD$105=V8)*(DE$3:DE$105="D"))+SUMPRODUCT((DA$3:DA$105=V5)*(DD$3:DD$105=V4)*(DE$3:DE$105="D"))+SUMPRODUCT((DA$3:DA$105=V6)*(DD$3:DD$105=V5)*(DE$3:DE$105="D"))+SUMPRODUCT((DA$3:DA$105=V7)*(DD$3:DD$105=V5)*(DE$3:DE$105="D"))+SUMPRODUCT((DA$3:DA$105=V8)*(DD$3:DD$105=V5)*(DE$3:DE$105="D"))+SUMPRODUCT((DA$3:DA$105=V4)*(DD$3:DD$105=V5)*(DE$3:DE$105="D"))</f>
        <v>0</v>
      </c>
      <c r="Y5" s="231">
        <f>SUMPRODUCT((DA$3:DA$105=V5)*(DD$3:DD$105=V6)*(DE$3:DE$105="L"))+SUMPRODUCT((DA$3:DA$105=V5)*(DD$3:DD$105=V7)*(DE$3:DE$105="L"))+SUMPRODUCT((DA$3:DA$105=V5)*(DD$3:DD$105=V8)*(DE$3:DE$105="L"))+SUMPRODUCT((DA$3:DA$105=V5)*(DD$3:DD$105=V4)*(DE$3:DE$105="L"))+SUMPRODUCT((DA$3:DA$105=V6)*(DD$3:DD$105=V5)*(DF$3:DF$105="L"))+SUMPRODUCT((DA$3:DA$105=V7)*(DD$3:DD$105=V5)*(DF$3:DF$105="L"))+SUMPRODUCT((DA$3:DA$105=V8)*(DD$3:DD$105=V5)*(DF$3:DF$105="L"))+SUMPRODUCT((DA$3:DA$105=V4)*(DD$3:DD$105=V5)*(DF$3:DF$105="L"))</f>
        <v>0</v>
      </c>
      <c r="Z5" s="231">
        <f>SUMPRODUCT((DA$3:DA$105=V5)*(DD$3:DD$105=V6)*DB$3:DB$105)+SUMPRODUCT((DA$3:DA$105=V5)*(DD$3:DD$105=V7)*DB$3:DB$105)+SUMPRODUCT((DA$3:DA$105=V5)*(DD$3:DD$105=V8)*DB$3:DB$105)+SUMPRODUCT((DA$3:DA$105=V5)*(DD$3:DD$105=V4)*DB$3:DB$105)+SUMPRODUCT((DA$3:DA$105=V6)*(DD$3:DD$105=V5)*DC$3:DC$105)+SUMPRODUCT((DA$3:DA$105=V7)*(DD$3:DD$105=V5)*DC$3:DC$105)+SUMPRODUCT((DA$3:DA$105=V8)*(DD$3:DD$105=V5)*DC$3:DC$105)+SUMPRODUCT((DA$3:DA$105=V4)*(DD$3:DD$105=V5)*DC$3:DC$105)</f>
        <v>0</v>
      </c>
      <c r="AA5" s="231">
        <f>SUMPRODUCT((DA$3:DA$105=V5)*(DD$3:DD$105=V6)*DC$3:DC$105)+SUMPRODUCT((DA$3:DA$105=V5)*(DD$3:DD$105=V7)*DC$3:DC$105)+SUMPRODUCT((DA$3:DA$105=V5)*(DD$3:DD$105=V8)*DC$3:DC$105)+SUMPRODUCT((DA$3:DA$105=V5)*(DD$3:DD$105=V4)*DC$3:DC$105)+SUMPRODUCT((DA$3:DA$105=V6)*(DD$3:DD$105=V5)*DB$3:DB$105)+SUMPRODUCT((DA$3:DA$105=V7)*(DD$3:DD$105=V5)*DB$3:DB$105)+SUMPRODUCT((DA$3:DA$105=V8)*(DD$3:DD$105=V5)*DB$3:DB$105)+SUMPRODUCT((DA$3:DA$105=V4)*(DD$3:DD$105=V5)*DB$3:DB$105)</f>
        <v>0</v>
      </c>
      <c r="AB5" s="231">
        <f>Z5-AA5+1000</f>
        <v>1000</v>
      </c>
      <c r="AC5" s="231">
        <f t="shared" ref="AC5:AC7" si="6">IF(V5&lt;&gt;"",W5*3+X5*1,"")</f>
        <v>0</v>
      </c>
      <c r="AD5" s="231">
        <f>IF(V5&lt;&gt;"",VLOOKUP(V5,C$4:I$52,7,FALSE),"")</f>
        <v>1000</v>
      </c>
      <c r="AE5" s="231">
        <f>IF(V5&lt;&gt;"",VLOOKUP(V5,C$4:I$52,5,FALSE),"")</f>
        <v>0</v>
      </c>
      <c r="AF5" s="231">
        <f>IF(V5&lt;&gt;"",VLOOKUP(V5,C$4:K$52,9,FALSE),"")</f>
        <v>-143</v>
      </c>
      <c r="AG5" s="231">
        <f t="shared" ref="AG5:AG7" si="7">AC5</f>
        <v>0</v>
      </c>
      <c r="AH5" s="231">
        <f>IF(V5&lt;&gt;"",RANK(AG5,AG4:AG8),"")</f>
        <v>1</v>
      </c>
      <c r="AI5" s="231">
        <f>IF(V5&lt;&gt;"",SUMPRODUCT((AG4:AG8=AG5)*(AB4:AB8&gt;AB5)),"")</f>
        <v>0</v>
      </c>
      <c r="AJ5" s="231">
        <f>IF(V5&lt;&gt;"",SUMPRODUCT((AG4:AG8=AG5)*(AB4:AB8=AB5)*(Z4:Z8&gt;Z5)),"")</f>
        <v>0</v>
      </c>
      <c r="AK5" s="231">
        <f>IF(V5&lt;&gt;"",SUMPRODUCT((AG4:AG8=AG5)*(AB4:AB8=AB5)*(Z4:Z8=Z5)*(AD4:AD8&gt;AD5)),"")</f>
        <v>0</v>
      </c>
      <c r="AL5" s="231">
        <f>IF(V5&lt;&gt;"",SUMPRODUCT((AG4:AG8=AG5)*(AB4:AB8=AB5)*(Z4:Z8=Z5)*(AD4:AD8=AD5)*(AE4:AE8&gt;AE5)),"")</f>
        <v>0</v>
      </c>
      <c r="AM5" s="231">
        <f>IF(V5&lt;&gt;"",SUMPRODUCT((AG4:AG8=AG5)*(AB4:AB8=AB5)*(Z4:Z8=Z5)*(AD4:AD8=AD5)*(AE4:AE8=AE5)*(AF4:AF8&gt;AF5)),"")</f>
        <v>2</v>
      </c>
      <c r="AN5" s="231">
        <f>IF(V5&lt;&gt;"",IF(AN84&lt;&gt;"",IF(U82=3,AN84,AN84+U82),SUM(AH5:AM5)),"")</f>
        <v>3</v>
      </c>
      <c r="AO5" s="231" t="str">
        <f>IF(V5&lt;&gt;"",INDEX(V4:V8,MATCH(2,AN4:AN8,0),0),"")</f>
        <v>Korea Republic</v>
      </c>
      <c r="AP5" s="231" t="str">
        <f>IF(R4&lt;&gt;"",R4,"")</f>
        <v/>
      </c>
      <c r="AQ5" s="231">
        <f>SUMPRODUCT((DA$3:DA$105=AP5)*(DD$3:DD$105=AP6)*(DE$3:DE$105="W"))+SUMPRODUCT((DA$3:DA$105=AP5)*(DD$3:DD$105=AP7)*(DE$3:DE$105="W"))+SUMPRODUCT((DA$3:DA$105=AP5)*(DD$3:DD$105=AP8)*(DE$3:DE$105="W"))+SUMPRODUCT((DA$3:DA$105=AP6)*(DD$3:DD$105=AP5)*(DF$3:DF$105="W"))+SUMPRODUCT((DA$3:DA$105=AP7)*(DD$3:DD$105=AP5)*(DF$3:DF$105="W"))+SUMPRODUCT((DA$3:DA$105=AP8)*(DD$3:DD$105=AP5)*(DF$3:DF$105="W"))</f>
        <v>0</v>
      </c>
      <c r="AR5" s="231">
        <f>SUMPRODUCT((DA$3:DA$105=AP5)*(DD$3:DD$105=AP6)*(DE$3:DE$105="D"))+SUMPRODUCT((DA$3:DA$105=AP5)*(DD$3:DD$105=AP7)*(DE$3:DE$105="D"))+SUMPRODUCT((DA$3:DA$105=AP5)*(DD$3:DD$105=AP8)*(DE$3:DE$105="D"))+SUMPRODUCT((DA$3:DA$105=AP6)*(DD$3:DD$105=AP5)*(DE$3:DE$105="D"))+SUMPRODUCT((DA$3:DA$105=AP7)*(DD$3:DD$105=AP5)*(DE$3:DE$105="D"))+SUMPRODUCT((DA$3:DA$105=AP8)*(DD$3:DD$105=AP5)*(DE$3:DE$105="D"))</f>
        <v>0</v>
      </c>
      <c r="AS5" s="231">
        <f>SUMPRODUCT((DA$3:DA$105=AP5)*(DD$3:DD$105=AP6)*(DE$3:DE$105="L"))+SUMPRODUCT((DA$3:DA$105=AP5)*(DD$3:DD$105=AP7)*(DE$3:DE$105="L"))+SUMPRODUCT((DA$3:DA$105=AP5)*(DD$3:DD$105=AP8)*(DE$3:DE$105="L"))+SUMPRODUCT((DA$3:DA$105=AP6)*(DD$3:DD$105=AP5)*(DF$3:DF$105="L"))+SUMPRODUCT((DA$3:DA$105=AP7)*(DD$3:DD$105=AP5)*(DF$3:DF$105="L"))+SUMPRODUCT((DA$3:DA$105=AP8)*(DD$3:DD$105=AP5)*(DF$3:DF$105="L"))</f>
        <v>0</v>
      </c>
      <c r="AT5" s="231">
        <f>SUMPRODUCT((DA$3:DA$105=AP5)*(DD$3:DD$105=AP6)*DB$3:DB$105)+SUMPRODUCT((DA$3:DA$105=AP5)*(DD$3:DD$105=AP7)*DB$3:DB$105)+SUMPRODUCT((DA$3:DA$105=AP5)*(DD$3:DD$105=AP8)*DB$3:DB$105)+SUMPRODUCT((DA$3:DA$105=AP5)*(DD$3:DD$105=AP4)*DB$3:DB$105)+SUMPRODUCT((DA$3:DA$105=AP6)*(DD$3:DD$105=AP5)*DC$3:DC$105)+SUMPRODUCT((DA$3:DA$105=AP7)*(DD$3:DD$105=AP5)*DC$3:DC$105)+SUMPRODUCT((DA$3:DA$105=AP8)*(DD$3:DD$105=AP5)*DC$3:DC$105)+SUMPRODUCT((DA$3:DA$105=AP4)*(DD$3:DD$105=AP5)*DC$3:DC$105)</f>
        <v>0</v>
      </c>
      <c r="AU5" s="231">
        <f>SUMPRODUCT((DA$3:DA$105=AP5)*(DD$3:DD$105=AP6)*DC$3:DC$105)+SUMPRODUCT((DA$3:DA$105=AP5)*(DD$3:DD$105=AP7)*DC$3:DC$105)+SUMPRODUCT((DA$3:DA$105=AP5)*(DD$3:DD$105=AP8)*DC$3:DC$105)+SUMPRODUCT((DA$3:DA$105=AP5)*(DD$3:DD$105=AP4)*DC$3:DC$105)+SUMPRODUCT((DA$3:DA$105=AP6)*(DD$3:DD$105=AP5)*DB$3:DB$105)+SUMPRODUCT((DA$3:DA$105=AP7)*(DD$3:DD$105=AP5)*DB$3:DB$105)+SUMPRODUCT((DA$3:DA$105=AP8)*(DD$3:DD$105=AP5)*DB$3:DB$105)+SUMPRODUCT((DA$3:DA$105=AP4)*(DD$3:DD$105=AP5)*DB$3:DB$105)</f>
        <v>0</v>
      </c>
      <c r="AV5" s="231">
        <f>AT5-AU5+1000</f>
        <v>1000</v>
      </c>
      <c r="AW5" s="231" t="str">
        <f t="shared" ref="AW5:AW7" si="8">IF(AP5&lt;&gt;"",AQ5*3+AR5*1,"")</f>
        <v/>
      </c>
      <c r="AX5" s="231" t="str">
        <f>IF(AP5&lt;&gt;"",VLOOKUP(AP5,C$4:I$52,7,FALSE),"")</f>
        <v/>
      </c>
      <c r="AY5" s="231" t="str">
        <f>IF(AP5&lt;&gt;"",VLOOKUP(AP5,C$4:I$52,5,FALSE),"")</f>
        <v/>
      </c>
      <c r="AZ5" s="231" t="str">
        <f>IF(AP5&lt;&gt;"",VLOOKUP(AP5,C$4:K$52,9,FALSE),"")</f>
        <v/>
      </c>
      <c r="BA5" s="231" t="str">
        <f t="shared" ref="BA5:BA7" si="9">AW5</f>
        <v/>
      </c>
      <c r="BB5" s="231" t="str">
        <f>IF(AP5&lt;&gt;"",RANK(BA5,BA4:BA8),"")</f>
        <v/>
      </c>
      <c r="BC5" s="231" t="str">
        <f>IF(AP5&lt;&gt;"",SUMPRODUCT((BA4:BA8=BA5)*(AV4:AV8&gt;AV5)),"")</f>
        <v/>
      </c>
      <c r="BD5" s="231" t="str">
        <f>IF(AP5&lt;&gt;"",SUMPRODUCT((BA4:BA8=BA5)*(AV4:AV8=AV5)*(AT4:AT8&gt;AT5)),"")</f>
        <v/>
      </c>
      <c r="BE5" s="231" t="str">
        <f>IF(AP5&lt;&gt;"",SUMPRODUCT((BA4:BA8=BA5)*(AV4:AV8=AV5)*(AT4:AT8=AT5)*(AX4:AX8&gt;AX5)),"")</f>
        <v/>
      </c>
      <c r="BF5" s="231" t="str">
        <f>IF(AP5&lt;&gt;"",SUMPRODUCT((BA4:BA8=BA5)*(AV4:AV8=AV5)*(AT4:AT8=AT5)*(AX4:AX8=AX5)*(AY4:AY8&gt;AY5)),"")</f>
        <v/>
      </c>
      <c r="BG5" s="231" t="str">
        <f>IF(AP5&lt;&gt;"",SUMPRODUCT((BA4:BA8=BA5)*(AV4:AV8=AV5)*(AT4:AT8=AT5)*(AX4:AX8=AX5)*(AY4:AY8=AY5)*(AZ4:AZ8&gt;AZ5)),"")</f>
        <v/>
      </c>
      <c r="BH5" s="231" t="str">
        <f>IF(AP5&lt;&gt;"",IF(BH84&lt;&gt;"",IF(AO82=3,BH84,BH84+AO82),SUM(BB5:BG5)+1),"")</f>
        <v/>
      </c>
      <c r="BI5" s="231" t="str">
        <f>IF(AP5&lt;&gt;"",INDEX(AP5:AP8,MATCH(2,BH5:BH8,0),0),"")</f>
        <v/>
      </c>
      <c r="CX5" s="231" t="str">
        <f>IF(BI5&lt;&gt;"",BI5,IF(AO5&lt;&gt;"",AO5,O5))</f>
        <v>Korea Republic</v>
      </c>
      <c r="CY5" s="231">
        <v>2</v>
      </c>
      <c r="CZ5" s="231">
        <v>3</v>
      </c>
      <c r="DA5" s="234" t="str">
        <f>Matches!H6</f>
        <v>Canada</v>
      </c>
      <c r="DB5" s="234">
        <f>IF($DA$2&lt;&gt;"",IF(AND(Matches!J6&lt;&gt;"",Matches!K6&lt;&gt;""),Matches!J6,0),"")</f>
        <v>0</v>
      </c>
      <c r="DC5" s="234">
        <f>IF($DA$2&lt;&gt;"",IF(AND(Matches!J6&lt;&gt;"",Matches!K6&lt;&gt;""),Matches!K6,0),"")</f>
        <v>0</v>
      </c>
      <c r="DD5" s="234" t="str">
        <f>Matches!M6</f>
        <v>Bosnia and Herzegovina</v>
      </c>
      <c r="DE5" s="234" t="str">
        <f>IF(AND(Matches!J6&lt;&gt;"",Matches!K6&lt;&gt;""),IF(DB5&gt;DC5,"W",IF(DB5=DC5,"D","L")),"")</f>
        <v/>
      </c>
      <c r="DF5" s="231" t="str">
        <f t="shared" si="0"/>
        <v/>
      </c>
    </row>
    <row r="6" spans="1:135" x14ac:dyDescent="0.25">
      <c r="A6" s="230">
        <f>Setup!F10+100</f>
        <v>122</v>
      </c>
      <c r="B6" s="231">
        <f t="shared" si="1"/>
        <v>2</v>
      </c>
      <c r="C6" s="232" t="str">
        <f t="shared" si="2"/>
        <v>Korea Republic</v>
      </c>
      <c r="D6" s="231">
        <f>SUMPRODUCT((DA$3:DA$105=C6)*(DE$3:DE$105="W"))+SUMPRODUCT((DD$3:DD$105=C6)*(DF$3:DF$105="W"))</f>
        <v>0</v>
      </c>
      <c r="E6" s="231">
        <f>SUMPRODUCT((DA$3:DA$105=C6)*(DE$3:DE$105="D"))+SUMPRODUCT((DD$3:DD$105=C6)*(DF$3:DF$105="D"))</f>
        <v>0</v>
      </c>
      <c r="F6" s="231">
        <f>SUMPRODUCT((DA$3:DA$105=C6)*(DE$3:DE$105="L"))+SUMPRODUCT((DD$3:DD$105=C6)*(DF$3:DF$105="L"))</f>
        <v>0</v>
      </c>
      <c r="G6" s="231">
        <f>SUMIF(DA3:DA123,C6,DB3:DB123)+SUMIF(DD3:DD123,C6,DC3:DC123)</f>
        <v>0</v>
      </c>
      <c r="H6" s="231">
        <f>SUMIF(DD3:DD123,C6,DB3:DB123)+SUMIF(DA3:DA123,C6,DC3:DC123)</f>
        <v>0</v>
      </c>
      <c r="I6" s="231">
        <f t="shared" si="3"/>
        <v>1000</v>
      </c>
      <c r="J6" s="231">
        <f t="shared" si="4"/>
        <v>0</v>
      </c>
      <c r="K6" s="231">
        <f>IF(Setup!G10&lt;&gt;"",Setup!G10,-A6)</f>
        <v>-122</v>
      </c>
      <c r="L6" s="231">
        <f>IF(COUNTIF(J4:J8,4)&lt;&gt;4,RANK(J6,J4:J8),J85)</f>
        <v>1</v>
      </c>
      <c r="N6" s="231">
        <f>SUMPRODUCT((L4:L7=L6)*(K4:K7&lt;K6))+L6</f>
        <v>3</v>
      </c>
      <c r="O6" s="232" t="str">
        <f>INDEX(C4:C8,MATCH(3,N4:N8,0),0)</f>
        <v>Korea Republic</v>
      </c>
      <c r="P6" s="231">
        <f>INDEX(L4:L8,MATCH(O6,C4:C8,0),0)</f>
        <v>1</v>
      </c>
      <c r="Q6" s="231" t="str">
        <f>IF(AND(Q5&lt;&gt;"",P6=1),O6,"")</f>
        <v>Korea Republic</v>
      </c>
      <c r="R6" s="231" t="str">
        <f>IF(AND(R5&lt;&gt;"",P7=2),O7,"")</f>
        <v/>
      </c>
      <c r="S6" s="231" t="str">
        <f>IF(AND(S5&lt;&gt;"",P8=3),O8,"")</f>
        <v/>
      </c>
      <c r="V6" s="231" t="str">
        <f t="shared" si="5"/>
        <v>Korea Republic</v>
      </c>
      <c r="W6" s="231">
        <f>SUMPRODUCT((DA$3:DA$105=V6)*(DD$3:DD$105=V7)*(DE$3:DE$105="W"))+SUMPRODUCT((DA$3:DA$105=V6)*(DD$3:DD$105=V8)*(DE$3:DE$105="W"))+SUMPRODUCT((DA$3:DA$105=V6)*(DD$3:DD$105=V4)*(DE$3:DE$105="W"))+SUMPRODUCT((DA$3:DA$105=V6)*(DD$3:DD$105=V5)*(DE$3:DE$105="W"))+SUMPRODUCT((DA$3:DA$105=V7)*(DD$3:DD$105=V6)*(DF$3:DF$105="W"))+SUMPRODUCT((DA$3:DA$105=V8)*(DD$3:DD$105=V6)*(DF$3:DF$105="W"))+SUMPRODUCT((DA$3:DA$105=V4)*(DD$3:DD$105=V6)*(DF$3:DF$105="W"))+SUMPRODUCT((DA$3:DA$105=V5)*(DD$3:DD$105=V6)*(DF$3:DF$105="W"))</f>
        <v>0</v>
      </c>
      <c r="X6" s="231">
        <f>SUMPRODUCT((DA$3:DA$105=V6)*(DD$3:DD$105=V7)*(DE$3:DE$105="D"))+SUMPRODUCT((DA$3:DA$105=V6)*(DD$3:DD$105=V8)*(DE$3:DE$105="D"))+SUMPRODUCT((DA$3:DA$105=V6)*(DD$3:DD$105=V4)*(DE$3:DE$105="D"))+SUMPRODUCT((DA$3:DA$105=V6)*(DD$3:DD$105=V5)*(DE$3:DE$105="D"))+SUMPRODUCT((DA$3:DA$105=V7)*(DD$3:DD$105=V6)*(DE$3:DE$105="D"))+SUMPRODUCT((DA$3:DA$105=V8)*(DD$3:DD$105=V6)*(DE$3:DE$105="D"))+SUMPRODUCT((DA$3:DA$105=V4)*(DD$3:DD$105=V6)*(DE$3:DE$105="D"))+SUMPRODUCT((DA$3:DA$105=V5)*(DD$3:DD$105=V6)*(DE$3:DE$105="D"))</f>
        <v>0</v>
      </c>
      <c r="Y6" s="231">
        <f>SUMPRODUCT((DA$3:DA$105=V6)*(DD$3:DD$105=V7)*(DE$3:DE$105="L"))+SUMPRODUCT((DA$3:DA$105=V6)*(DD$3:DD$105=V8)*(DE$3:DE$105="L"))+SUMPRODUCT((DA$3:DA$105=V6)*(DD$3:DD$105=V4)*(DE$3:DE$105="L"))+SUMPRODUCT((DA$3:DA$105=V6)*(DD$3:DD$105=V5)*(DE$3:DE$105="L"))+SUMPRODUCT((DA$3:DA$105=V7)*(DD$3:DD$105=V6)*(DF$3:DF$105="L"))+SUMPRODUCT((DA$3:DA$105=V8)*(DD$3:DD$105=V6)*(DF$3:DF$105="L"))+SUMPRODUCT((DA$3:DA$105=V4)*(DD$3:DD$105=V6)*(DF$3:DF$105="L"))+SUMPRODUCT((DA$3:DA$105=V5)*(DD$3:DD$105=V6)*(DF$3:DF$105="L"))</f>
        <v>0</v>
      </c>
      <c r="Z6" s="231">
        <f>SUMPRODUCT((DA$3:DA$105=V6)*(DD$3:DD$105=V7)*DB$3:DB$105)+SUMPRODUCT((DA$3:DA$105=V6)*(DD$3:DD$105=V8)*DB$3:DB$105)+SUMPRODUCT((DA$3:DA$105=V6)*(DD$3:DD$105=V4)*DB$3:DB$105)+SUMPRODUCT((DA$3:DA$105=V6)*(DD$3:DD$105=V5)*DB$3:DB$105)+SUMPRODUCT((DA$3:DA$105=V7)*(DD$3:DD$105=V6)*DC$3:DC$105)+SUMPRODUCT((DA$3:DA$105=V8)*(DD$3:DD$105=V6)*DC$3:DC$105)+SUMPRODUCT((DA$3:DA$105=V4)*(DD$3:DD$105=V6)*DC$3:DC$105)+SUMPRODUCT((DA$3:DA$105=V5)*(DD$3:DD$105=V6)*DC$3:DC$105)</f>
        <v>0</v>
      </c>
      <c r="AA6" s="231">
        <f>SUMPRODUCT((DA$3:DA$105=V6)*(DD$3:DD$105=V7)*DC$3:DC$105)+SUMPRODUCT((DA$3:DA$105=V6)*(DD$3:DD$105=V8)*DC$3:DC$105)+SUMPRODUCT((DA$3:DA$105=V6)*(DD$3:DD$105=V4)*DC$3:DC$105)+SUMPRODUCT((DA$3:DA$105=V6)*(DD$3:DD$105=V5)*DC$3:DC$105)+SUMPRODUCT((DA$3:DA$105=V7)*(DD$3:DD$105=V6)*DB$3:DB$105)+SUMPRODUCT((DA$3:DA$105=V8)*(DD$3:DD$105=V6)*DB$3:DB$105)+SUMPRODUCT((DA$3:DA$105=V4)*(DD$3:DD$105=V6)*DB$3:DB$105)+SUMPRODUCT((DA$3:DA$105=V5)*(DD$3:DD$105=V6)*DB$3:DB$105)</f>
        <v>0</v>
      </c>
      <c r="AB6" s="231">
        <f>Z6-AA6+1000</f>
        <v>1000</v>
      </c>
      <c r="AC6" s="231">
        <f t="shared" si="6"/>
        <v>0</v>
      </c>
      <c r="AD6" s="231">
        <f>IF(V6&lt;&gt;"",VLOOKUP(V6,C$4:I$52,7,FALSE),"")</f>
        <v>1000</v>
      </c>
      <c r="AE6" s="231">
        <f>IF(V6&lt;&gt;"",VLOOKUP(V6,C$4:I$52,5,FALSE),"")</f>
        <v>0</v>
      </c>
      <c r="AF6" s="231">
        <f>IF(V6&lt;&gt;"",VLOOKUP(V6,C$4:K$52,9,FALSE),"")</f>
        <v>-122</v>
      </c>
      <c r="AG6" s="231">
        <f t="shared" si="7"/>
        <v>0</v>
      </c>
      <c r="AH6" s="231">
        <f>IF(V6&lt;&gt;"",RANK(AG6,AG4:AG8),"")</f>
        <v>1</v>
      </c>
      <c r="AI6" s="231">
        <f>IF(V6&lt;&gt;"",SUMPRODUCT((AG4:AG8=AG6)*(AB4:AB8&gt;AB6)),"")</f>
        <v>0</v>
      </c>
      <c r="AJ6" s="231">
        <f>IF(V6&lt;&gt;"",SUMPRODUCT((AG4:AG8=AG6)*(AB4:AB8=AB6)*(Z4:Z8&gt;Z6)),"")</f>
        <v>0</v>
      </c>
      <c r="AK6" s="231">
        <f>IF(V6&lt;&gt;"",SUMPRODUCT((AG4:AG8=AG6)*(AB4:AB8=AB6)*(Z4:Z8=Z6)*(AD4:AD8&gt;AD6)),"")</f>
        <v>0</v>
      </c>
      <c r="AL6" s="231">
        <f>IF(V6&lt;&gt;"",SUMPRODUCT((AG4:AG8=AG6)*(AB4:AB8=AB6)*(Z4:Z8=Z6)*(AD4:AD8=AD6)*(AE4:AE8&gt;AE6)),"")</f>
        <v>0</v>
      </c>
      <c r="AM6" s="231">
        <f>IF(V6&lt;&gt;"",SUMPRODUCT((AG4:AG8=AG6)*(AB4:AB8=AB6)*(Z4:Z8=Z6)*(AD4:AD8=AD6)*(AE4:AE8=AE6)*(AF4:AF8&gt;AF6)),"")</f>
        <v>1</v>
      </c>
      <c r="AN6" s="231">
        <f>IF(V6&lt;&gt;"",IF(AN85&lt;&gt;"",IF(U82=3,AN85,AN85+U82),SUM(AH6:AM6)),"")</f>
        <v>2</v>
      </c>
      <c r="AO6" s="231" t="str">
        <f>IF(V6&lt;&gt;"",INDEX(V4:V8,MATCH(3,AN4:AN8,0),0),"")</f>
        <v>Czechia</v>
      </c>
      <c r="AP6" s="231" t="str">
        <f>IF(R5&lt;&gt;"",R5,"")</f>
        <v/>
      </c>
      <c r="AQ6" s="231">
        <f>SUMPRODUCT((DA$3:DA$105=AP6)*(DD$3:DD$105=AP7)*(DE$3:DE$105="W"))+SUMPRODUCT((DA$3:DA$105=AP6)*(DD$3:DD$105=AP8)*(DE$3:DE$105="W"))+SUMPRODUCT((DA$3:DA$105=AP6)*(DD$3:DD$105=AP5)*(DE$3:DE$105="W"))+SUMPRODUCT((DA$3:DA$105=AP7)*(DD$3:DD$105=AP6)*(DF$3:DF$105="W"))+SUMPRODUCT((DA$3:DA$105=AP8)*(DD$3:DD$105=AP6)*(DF$3:DF$105="W"))+SUMPRODUCT((DA$3:DA$105=AP5)*(DD$3:DD$105=AP6)*(DF$3:DF$105="W"))</f>
        <v>0</v>
      </c>
      <c r="AR6" s="231">
        <f>SUMPRODUCT((DA$3:DA$105=AP6)*(DD$3:DD$105=AP7)*(DE$3:DE$105="D"))+SUMPRODUCT((DA$3:DA$105=AP6)*(DD$3:DD$105=AP8)*(DE$3:DE$105="D"))+SUMPRODUCT((DA$3:DA$105=AP6)*(DD$3:DD$105=AP5)*(DE$3:DE$105="D"))+SUMPRODUCT((DA$3:DA$105=AP7)*(DD$3:DD$105=AP6)*(DE$3:DE$105="D"))+SUMPRODUCT((DA$3:DA$105=AP8)*(DD$3:DD$105=AP6)*(DE$3:DE$105="D"))+SUMPRODUCT((DA$3:DA$105=AP5)*(DD$3:DD$105=AP6)*(DE$3:DE$105="D"))</f>
        <v>0</v>
      </c>
      <c r="AS6" s="231">
        <f>SUMPRODUCT((DA$3:DA$105=AP6)*(DD$3:DD$105=AP7)*(DE$3:DE$105="L"))+SUMPRODUCT((DA$3:DA$105=AP6)*(DD$3:DD$105=AP8)*(DE$3:DE$105="L"))+SUMPRODUCT((DA$3:DA$105=AP6)*(DD$3:DD$105=AP5)*(DE$3:DE$105="L"))+SUMPRODUCT((DA$3:DA$105=AP7)*(DD$3:DD$105=AP6)*(DF$3:DF$105="L"))+SUMPRODUCT((DA$3:DA$105=AP8)*(DD$3:DD$105=AP6)*(DF$3:DF$105="L"))+SUMPRODUCT((DA$3:DA$105=AP5)*(DD$3:DD$105=AP6)*(DF$3:DF$105="L"))</f>
        <v>0</v>
      </c>
      <c r="AT6" s="231">
        <f>SUMPRODUCT((DA$3:DA$105=AP6)*(DD$3:DD$105=AP7)*DB$3:DB$105)+SUMPRODUCT((DA$3:DA$105=AP6)*(DD$3:DD$105=AP8)*DB$3:DB$105)+SUMPRODUCT((DA$3:DA$105=AP6)*(DD$3:DD$105=AP4)*DB$3:DB$105)+SUMPRODUCT((DA$3:DA$105=AP6)*(DD$3:DD$105=AP5)*DB$3:DB$105)+SUMPRODUCT((DA$3:DA$105=AP7)*(DD$3:DD$105=AP6)*DC$3:DC$105)+SUMPRODUCT((DA$3:DA$105=AP8)*(DD$3:DD$105=AP6)*DC$3:DC$105)+SUMPRODUCT((DA$3:DA$105=AP4)*(DD$3:DD$105=AP6)*DC$3:DC$105)+SUMPRODUCT((DA$3:DA$105=AP5)*(DD$3:DD$105=AP6)*DC$3:DC$105)</f>
        <v>0</v>
      </c>
      <c r="AU6" s="231">
        <f>SUMPRODUCT((DA$3:DA$105=AP6)*(DD$3:DD$105=AP7)*DC$3:DC$105)+SUMPRODUCT((DA$3:DA$105=AP6)*(DD$3:DD$105=AP8)*DC$3:DC$105)+SUMPRODUCT((DA$3:DA$105=AP6)*(DD$3:DD$105=AP4)*DC$3:DC$105)+SUMPRODUCT((DA$3:DA$105=AP6)*(DD$3:DD$105=AP5)*DC$3:DC$105)+SUMPRODUCT((DA$3:DA$105=AP7)*(DD$3:DD$105=AP6)*DB$3:DB$105)+SUMPRODUCT((DA$3:DA$105=AP8)*(DD$3:DD$105=AP6)*DB$3:DB$105)+SUMPRODUCT((DA$3:DA$105=AP4)*(DD$3:DD$105=AP6)*DB$3:DB$105)+SUMPRODUCT((DA$3:DA$105=AP5)*(DD$3:DD$105=AP6)*DB$3:DB$105)</f>
        <v>0</v>
      </c>
      <c r="AV6" s="231">
        <f>AT6-AU6+1000</f>
        <v>1000</v>
      </c>
      <c r="AW6" s="231" t="str">
        <f t="shared" si="8"/>
        <v/>
      </c>
      <c r="AX6" s="231" t="str">
        <f>IF(AP6&lt;&gt;"",VLOOKUP(AP6,C$4:I$52,7,FALSE),"")</f>
        <v/>
      </c>
      <c r="AY6" s="231" t="str">
        <f>IF(AP6&lt;&gt;"",VLOOKUP(AP6,C$4:I$52,5,FALSE),"")</f>
        <v/>
      </c>
      <c r="AZ6" s="231" t="str">
        <f>IF(AP6&lt;&gt;"",VLOOKUP(AP6,C$4:K$52,9,FALSE),"")</f>
        <v/>
      </c>
      <c r="BA6" s="231" t="str">
        <f t="shared" si="9"/>
        <v/>
      </c>
      <c r="BB6" s="231" t="str">
        <f>IF(AP6&lt;&gt;"",RANK(BA6,BA4:BA8),"")</f>
        <v/>
      </c>
      <c r="BC6" s="231" t="str">
        <f>IF(AP6&lt;&gt;"",SUMPRODUCT((BA4:BA8=BA6)*(AV4:AV8&gt;AV6)),"")</f>
        <v/>
      </c>
      <c r="BD6" s="231" t="str">
        <f>IF(AP6&lt;&gt;"",SUMPRODUCT((BA4:BA8=BA6)*(AV4:AV8=AV6)*(AT4:AT8&gt;AT6)),"")</f>
        <v/>
      </c>
      <c r="BE6" s="231" t="str">
        <f>IF(AP6&lt;&gt;"",SUMPRODUCT((BA4:BA8=BA6)*(AV4:AV8=AV6)*(AT4:AT8=AT6)*(AX4:AX8&gt;AX6)),"")</f>
        <v/>
      </c>
      <c r="BF6" s="231" t="str">
        <f>IF(AP6&lt;&gt;"",SUMPRODUCT((BA4:BA8=BA6)*(AV4:AV8=AV6)*(AT4:AT8=AT6)*(AX4:AX8=AX6)*(AY4:AY8&gt;AY6)),"")</f>
        <v/>
      </c>
      <c r="BG6" s="231" t="str">
        <f>IF(AP6&lt;&gt;"",SUMPRODUCT((BA4:BA8=BA6)*(AV4:AV8=AV6)*(AT4:AT8=AT6)*(AX4:AX8=AX6)*(AY4:AY8=AY6)*(AZ4:AZ8&gt;AZ6)),"")</f>
        <v/>
      </c>
      <c r="BH6" s="231" t="str">
        <f>IF(AP6&lt;&gt;"",IF(BH85&lt;&gt;"",IF(AO82=3,BH85,BH85+AO82),SUM(BB6:BG6)+1),"")</f>
        <v/>
      </c>
      <c r="BI6" s="231" t="str">
        <f>IF(AP6&lt;&gt;"",INDEX(AP5:AP8,MATCH(3,BH5:BH8,0),0),"")</f>
        <v/>
      </c>
      <c r="BJ6" s="231" t="str">
        <f>IF(S4&lt;&gt;"",S4,"")</f>
        <v/>
      </c>
      <c r="BK6" s="231">
        <f>SUMPRODUCT((DA$3:DA$105=BJ6)*(DD$3:DD$105=BJ7)*(DE$3:DE$105="W"))+SUMPRODUCT((DA$3:DA$105=BJ6)*(DD$3:DD$105=BJ8)*(DE$3:DE$105="W"))+SUMPRODUCT((DA$3:DA$105=BJ6)*(DD$3:DD$105=BJ9)*(DE$3:DE$105="W"))+SUMPRODUCT((DA$3:DA$105=BJ7)*(DD$3:DD$105=BJ6)*(DF$3:DF$105="W"))+SUMPRODUCT((DA$3:DA$105=BJ8)*(DD$3:DD$105=BJ6)*(DF$3:DF$105="W"))+SUMPRODUCT((DA$3:DA$105=BJ9)*(DD$3:DD$105=BJ6)*(DF$3:DF$105="W"))</f>
        <v>0</v>
      </c>
      <c r="BL6" s="231">
        <f>SUMPRODUCT((DA$3:DA$105=BJ6)*(DD$3:DD$105=BJ7)*(DE$3:DE$105="D"))+SUMPRODUCT((DA$3:DA$105=BJ6)*(DD$3:DD$105=BJ8)*(DE$3:DE$105="D"))+SUMPRODUCT((DA$3:DA$105=BJ6)*(DD$3:DD$105=BJ9)*(DE$3:DE$105="D"))+SUMPRODUCT((DA$3:DA$105=BJ7)*(DD$3:DD$105=BJ6)*(DE$3:DE$105="D"))+SUMPRODUCT((DA$3:DA$105=BJ8)*(DD$3:DD$105=BJ6)*(DE$3:DE$105="D"))+SUMPRODUCT((DA$3:DA$105=BJ9)*(DD$3:DD$105=BJ6)*(DE$3:DE$105="D"))</f>
        <v>0</v>
      </c>
      <c r="BM6" s="231">
        <f>SUMPRODUCT((DA$3:DA$105=BJ6)*(DD$3:DD$105=BJ7)*(DE$3:DE$105="L"))+SUMPRODUCT((DA$3:DA$105=BJ6)*(DD$3:DD$105=BJ8)*(DE$3:DE$105="L"))+SUMPRODUCT((DA$3:DA$105=BJ6)*(DD$3:DD$105=BJ9)*(DE$3:DE$105="L"))+SUMPRODUCT((DA$3:DA$105=BJ7)*(DD$3:DD$105=BJ6)*(DF$3:DF$105="L"))+SUMPRODUCT((DA$3:DA$105=BJ8)*(DD$3:DD$105=BJ6)*(DF$3:DF$105="L"))+SUMPRODUCT((DA$3:DA$105=BJ9)*(DD$3:DD$105=BJ6)*(DF$3:DF$105="L"))</f>
        <v>0</v>
      </c>
      <c r="BN6" s="231">
        <f>SUMPRODUCT((DA$3:DA$105=BJ6)*(DD$3:DD$105=BJ7)*DB$3:DB$105)+SUMPRODUCT((DA$3:DA$105=BJ6)*(DD$3:DD$105=BJ8)*DB$3:DB$105)+SUMPRODUCT((DA$3:DA$105=BJ6)*(DD$3:DD$105=BJ4)*DB$3:DB$105)+SUMPRODUCT((DA$3:DA$105=BJ6)*(DD$3:DD$105=BJ5)*DB$3:DB$105)+SUMPRODUCT((DA$3:DA$105=BJ7)*(DD$3:DD$105=BJ6)*DC$3:DC$105)+SUMPRODUCT((DA$3:DA$105=BJ8)*(DD$3:DD$105=BJ6)*DC$3:DC$105)+SUMPRODUCT((DA$3:DA$105=BJ4)*(DD$3:DD$105=BJ6)*DC$3:DC$105)+SUMPRODUCT((DA$3:DA$105=BJ5)*(DD$3:DD$105=BJ6)*DC$3:DC$105)</f>
        <v>0</v>
      </c>
      <c r="BO6" s="231">
        <f>SUMPRODUCT((DA$3:DA$105=BJ6)*(DD$3:DD$105=BJ7)*DC$3:DC$105)+SUMPRODUCT((DA$3:DA$105=BJ6)*(DD$3:DD$105=BJ8)*DC$3:DC$105)+SUMPRODUCT((DA$3:DA$105=BJ6)*(DD$3:DD$105=BJ4)*DC$3:DC$105)+SUMPRODUCT((DA$3:DA$105=BJ6)*(DD$3:DD$105=BJ5)*DC$3:DC$105)+SUMPRODUCT((DA$3:DA$105=BJ7)*(DD$3:DD$105=BJ6)*DB$3:DB$105)+SUMPRODUCT((DA$3:DA$105=BJ8)*(DD$3:DD$105=BJ6)*DB$3:DB$105)+SUMPRODUCT((DA$3:DA$105=BJ4)*(DD$3:DD$105=BJ6)*DB$3:DB$105)+SUMPRODUCT((DA$3:DA$105=BJ5)*(DD$3:DD$105=BJ6)*DB$3:DB$105)</f>
        <v>0</v>
      </c>
      <c r="BP6" s="231">
        <f>BN6-BO6+1000</f>
        <v>1000</v>
      </c>
      <c r="BQ6" s="231" t="str">
        <f t="shared" ref="BQ6:BQ7" si="10">IF(BJ6&lt;&gt;"",BK6*3+BL6*1,"")</f>
        <v/>
      </c>
      <c r="BR6" s="231" t="str">
        <f>IF(BJ6&lt;&gt;"",VLOOKUP(BJ6,C$4:I$52,7,FALSE),"")</f>
        <v/>
      </c>
      <c r="BS6" s="231" t="str">
        <f>IF(BJ6&lt;&gt;"",VLOOKUP(BJ6,C$4:I$52,5,FALSE),"")</f>
        <v/>
      </c>
      <c r="BT6" s="231" t="str">
        <f>IF(BJ6&lt;&gt;"",VLOOKUP(BJ6,C$4:K$52,9,FALSE),"")</f>
        <v/>
      </c>
      <c r="BU6" s="231" t="str">
        <f t="shared" ref="BU6:BU7" si="11">BQ6</f>
        <v/>
      </c>
      <c r="BV6" s="231" t="str">
        <f>IF(BJ6&lt;&gt;"",RANK(BU6,BU4:BU8),"")</f>
        <v/>
      </c>
      <c r="BW6" s="231" t="str">
        <f>IF(BJ6&lt;&gt;"",SUMPRODUCT((BU4:BU8=BU6)*(BP4:BP8&gt;BP6)),"")</f>
        <v/>
      </c>
      <c r="BX6" s="231" t="str">
        <f>IF(BJ6&lt;&gt;"",SUMPRODUCT((BU4:BU8=BU6)*(BP4:BP8=BP6)*(BN4:BN8&gt;BN6)),"")</f>
        <v/>
      </c>
      <c r="BY6" s="231" t="str">
        <f>IF(BJ6&lt;&gt;"",SUMPRODUCT((BU4:BU8=BU6)*(BP4:BP8=BP6)*(BN4:BN8=BN6)*(BR4:BR8&gt;BR6)),"")</f>
        <v/>
      </c>
      <c r="BZ6" s="231" t="str">
        <f>IF(BJ6&lt;&gt;"",SUMPRODUCT((BU4:BU8=BU6)*(BP4:BP8=BP6)*(BN4:BN8=BN6)*(BR4:BR8=BR6)*(BS4:BS8&gt;BS6)),"")</f>
        <v/>
      </c>
      <c r="CA6" s="231" t="str">
        <f>IF(BJ6&lt;&gt;"",SUMPRODUCT((BU4:BU8=BU6)*(BP4:BP8=BP6)*(BN4:BN8=BN6)*(BR4:BR8=BR6)*(BS4:BS8=BS6)*(BT4:BT8&gt;BT6)),"")</f>
        <v/>
      </c>
      <c r="CB6" s="231" t="str">
        <f>IF(BJ6&lt;&gt;"",SUM(BV6:CA6)+2,"")</f>
        <v/>
      </c>
      <c r="CC6" s="231" t="str">
        <f>IF(BJ6&lt;&gt;"",INDEX(BJ6:BJ8,MATCH(3,CB6:CB8,0),0),"")</f>
        <v/>
      </c>
      <c r="CX6" s="231" t="str">
        <f>IF(CC6&lt;&gt;"",CC6,IF(BI6&lt;&gt;"",BI6,IF(AO6&lt;&gt;"",AO6,O6)))</f>
        <v>Czechia</v>
      </c>
      <c r="CY6" s="231">
        <v>3</v>
      </c>
      <c r="CZ6" s="231">
        <v>4</v>
      </c>
      <c r="DA6" s="234" t="str">
        <f>Matches!H7</f>
        <v>USA</v>
      </c>
      <c r="DB6" s="234">
        <f>IF($DA$2&lt;&gt;"",IF(AND(Matches!J7&lt;&gt;"",Matches!K7&lt;&gt;""),Matches!J7,0),"")</f>
        <v>0</v>
      </c>
      <c r="DC6" s="234">
        <f>IF($DA$2&lt;&gt;"",IF(AND(Matches!J7&lt;&gt;"",Matches!K7&lt;&gt;""),Matches!K7,0),"")</f>
        <v>0</v>
      </c>
      <c r="DD6" s="234" t="str">
        <f>Matches!M7</f>
        <v>Paraguay</v>
      </c>
      <c r="DE6" s="234" t="str">
        <f>IF(AND(Matches!J7&lt;&gt;"",Matches!K7&lt;&gt;""),IF(DB6&gt;DC6,"W",IF(DB6=DC6,"D","L")),"")</f>
        <v/>
      </c>
      <c r="DF6" s="231" t="str">
        <f t="shared" si="0"/>
        <v/>
      </c>
      <c r="DQ6" s="236"/>
      <c r="DR6" s="236"/>
      <c r="DS6" s="236"/>
      <c r="DT6" s="236"/>
      <c r="DU6" s="236"/>
      <c r="DX6" s="230"/>
      <c r="DY6" s="230"/>
      <c r="DZ6" s="230"/>
      <c r="EA6" s="237" t="s">
        <v>467</v>
      </c>
      <c r="EB6" s="230"/>
      <c r="EC6" s="230" t="s">
        <v>466</v>
      </c>
    </row>
    <row r="7" spans="1:135" ht="13.5" customHeight="1" x14ac:dyDescent="0.25">
      <c r="A7" s="230">
        <f>Setup!F11+100</f>
        <v>143</v>
      </c>
      <c r="B7" s="231">
        <f t="shared" si="1"/>
        <v>3</v>
      </c>
      <c r="C7" s="232" t="str">
        <f t="shared" si="2"/>
        <v>Czechia</v>
      </c>
      <c r="D7" s="231">
        <f>SUMPRODUCT((DA$3:DA$105=C7)*(DE$3:DE$105="W"))+SUMPRODUCT((DD$3:DD$105=C7)*(DF$3:DF$105="W"))</f>
        <v>0</v>
      </c>
      <c r="E7" s="231">
        <f>SUMPRODUCT((DA$3:DA$105=C7)*(DE$3:DE$105="D"))+SUMPRODUCT((DD$3:DD$105=C7)*(DF$3:DF$105="D"))</f>
        <v>0</v>
      </c>
      <c r="F7" s="231">
        <f>SUMPRODUCT((DA$3:DA$105=C7)*(DE$3:DE$105="L"))+SUMPRODUCT((DD$3:DD$105=C7)*(DF$3:DF$105="L"))</f>
        <v>0</v>
      </c>
      <c r="G7" s="231">
        <f>SUMIF(DA3:DA123,C7,DB3:DB123)+SUMIF(DD3:DD123,C7,DC3:DC123)</f>
        <v>0</v>
      </c>
      <c r="H7" s="231">
        <f>SUMIF(DD3:DD123,C7,DB3:DB123)+SUMIF(DA3:DA123,C7,DC3:DC123)</f>
        <v>0</v>
      </c>
      <c r="I7" s="231">
        <f t="shared" si="3"/>
        <v>1000</v>
      </c>
      <c r="J7" s="231">
        <f t="shared" si="4"/>
        <v>0</v>
      </c>
      <c r="K7" s="231">
        <f>IF(Setup!G11&lt;&gt;"",Setup!G11,-A7)</f>
        <v>-143</v>
      </c>
      <c r="L7" s="231">
        <f>IF(COUNTIF(J4:J8,4)&lt;&gt;4,RANK(J7,J4:J8),J86)</f>
        <v>1</v>
      </c>
      <c r="N7" s="231">
        <f>SUMPRODUCT((L4:L7=L7)*(K4:K7&lt;K7))+L7</f>
        <v>2</v>
      </c>
      <c r="O7" s="232" t="str">
        <f>INDEX(C4:C8,MATCH(4,N4:N8,0),0)</f>
        <v>Mexico</v>
      </c>
      <c r="P7" s="231">
        <f>INDEX(L4:L8,MATCH(O7,C4:C8,0),0)</f>
        <v>1</v>
      </c>
      <c r="Q7" s="231" t="str">
        <f>IF(AND(Q6&lt;&gt;"",P7=1),O7,"")</f>
        <v>Mexico</v>
      </c>
      <c r="R7" s="231" t="str">
        <f>IF(AND(R6&lt;&gt;"",P8=2),O8,"")</f>
        <v/>
      </c>
      <c r="V7" s="231" t="str">
        <f t="shared" si="5"/>
        <v>Mexico</v>
      </c>
      <c r="W7" s="231">
        <f>SUMPRODUCT((DA$3:DA$105=V7)*(DD$3:DD$105=V8)*(DE$3:DE$105="W"))+SUMPRODUCT((DA$3:DA$105=V7)*(DD$3:DD$105=V4)*(DE$3:DE$105="W"))+SUMPRODUCT((DA$3:DA$105=V7)*(DD$3:DD$105=V5)*(DE$3:DE$105="W"))+SUMPRODUCT((DA$3:DA$105=V7)*(DD$3:DD$105=V6)*(DE$3:DE$105="W"))+SUMPRODUCT((DA$3:DA$105=V8)*(DD$3:DD$105=V7)*(DF$3:DF$105="W"))+SUMPRODUCT((DA$3:DA$105=V4)*(DD$3:DD$105=V7)*(DF$3:DF$105="W"))+SUMPRODUCT((DA$3:DA$105=V5)*(DD$3:DD$105=V7)*(DF$3:DF$105="W"))+SUMPRODUCT((DA$3:DA$105=V6)*(DD$3:DD$105=V7)*(DF$3:DF$105="W"))</f>
        <v>0</v>
      </c>
      <c r="X7" s="231">
        <f>SUMPRODUCT((DA$3:DA$105=V7)*(DD$3:DD$105=V8)*(DE$3:DE$105="D"))+SUMPRODUCT((DA$3:DA$105=V7)*(DD$3:DD$105=V4)*(DE$3:DE$105="D"))+SUMPRODUCT((DA$3:DA$105=V7)*(DD$3:DD$105=V5)*(DE$3:DE$105="D"))+SUMPRODUCT((DA$3:DA$105=V7)*(DD$3:DD$105=V6)*(DE$3:DE$105="D"))+SUMPRODUCT((DA$3:DA$105=V8)*(DD$3:DD$105=V7)*(DE$3:DE$105="D"))+SUMPRODUCT((DA$3:DA$105=V4)*(DD$3:DD$105=V7)*(DE$3:DE$105="D"))+SUMPRODUCT((DA$3:DA$105=V5)*(DD$3:DD$105=V7)*(DE$3:DE$105="D"))+SUMPRODUCT((DA$3:DA$105=V6)*(DD$3:DD$105=V7)*(DE$3:DE$105="D"))</f>
        <v>0</v>
      </c>
      <c r="Y7" s="231">
        <f>SUMPRODUCT((DA$3:DA$105=V7)*(DD$3:DD$105=V8)*(DE$3:DE$105="L"))+SUMPRODUCT((DA$3:DA$105=V7)*(DD$3:DD$105=V4)*(DE$3:DE$105="L"))+SUMPRODUCT((DA$3:DA$105=V7)*(DD$3:DD$105=V5)*(DE$3:DE$105="L"))+SUMPRODUCT((DA$3:DA$105=V7)*(DD$3:DD$105=V6)*(DE$3:DE$105="L"))+SUMPRODUCT((DA$3:DA$105=V8)*(DD$3:DD$105=V7)*(DF$3:DF$105="L"))+SUMPRODUCT((DA$3:DA$105=V4)*(DD$3:DD$105=V7)*(DF$3:DF$105="L"))+SUMPRODUCT((DA$3:DA$105=V5)*(DD$3:DD$105=V7)*(DF$3:DF$105="L"))+SUMPRODUCT((DA$3:DA$105=V6)*(DD$3:DD$105=V7)*(DF$3:DF$105="L"))</f>
        <v>0</v>
      </c>
      <c r="Z7" s="231">
        <f>SUMPRODUCT((DA$3:DA$105=V7)*(DD$3:DD$105=V8)*DB$3:DB$105)+SUMPRODUCT((DA$3:DA$105=V7)*(DD$3:DD$105=V4)*DB$3:DB$105)+SUMPRODUCT((DA$3:DA$105=V7)*(DD$3:DD$105=V5)*DB$3:DB$105)+SUMPRODUCT((DA$3:DA$105=V7)*(DD$3:DD$105=V6)*DB$3:DB$105)+SUMPRODUCT((DA$3:DA$105=V8)*(DD$3:DD$105=V7)*DC$3:DC$105)+SUMPRODUCT((DA$3:DA$105=V4)*(DD$3:DD$105=V7)*DC$3:DC$105)+SUMPRODUCT((DA$3:DA$105=V5)*(DD$3:DD$105=V7)*DC$3:DC$105)+SUMPRODUCT((DA$3:DA$105=V6)*(DD$3:DD$105=V7)*DC$3:DC$105)</f>
        <v>0</v>
      </c>
      <c r="AA7" s="231">
        <f>SUMPRODUCT((DA$3:DA$105=V7)*(DD$3:DD$105=V8)*DC$3:DC$105)+SUMPRODUCT((DA$3:DA$105=V7)*(DD$3:DD$105=V4)*DC$3:DC$105)+SUMPRODUCT((DA$3:DA$105=V7)*(DD$3:DD$105=V5)*DC$3:DC$105)+SUMPRODUCT((DA$3:DA$105=V7)*(DD$3:DD$105=V6)*DC$3:DC$105)+SUMPRODUCT((DA$3:DA$105=V8)*(DD$3:DD$105=V7)*DB$3:DB$105)+SUMPRODUCT((DA$3:DA$105=V4)*(DD$3:DD$105=V7)*DB$3:DB$105)+SUMPRODUCT((DA$3:DA$105=V5)*(DD$3:DD$105=V7)*DB$3:DB$105)+SUMPRODUCT((DA$3:DA$105=V6)*(DD$3:DD$105=V7)*DB$3:DB$105)</f>
        <v>0</v>
      </c>
      <c r="AB7" s="231">
        <f>Z7-AA7+1000</f>
        <v>1000</v>
      </c>
      <c r="AC7" s="231">
        <f t="shared" si="6"/>
        <v>0</v>
      </c>
      <c r="AD7" s="231">
        <f>IF(V7&lt;&gt;"",VLOOKUP(V7,C$4:I$52,7,FALSE),"")</f>
        <v>1000</v>
      </c>
      <c r="AE7" s="231">
        <f>IF(V7&lt;&gt;"",VLOOKUP(V7,C$4:I$52,5,FALSE),"")</f>
        <v>0</v>
      </c>
      <c r="AF7" s="231">
        <f>IF(V7&lt;&gt;"",VLOOKUP(V7,C$4:K$52,9,FALSE),"")</f>
        <v>-116</v>
      </c>
      <c r="AG7" s="231">
        <f t="shared" si="7"/>
        <v>0</v>
      </c>
      <c r="AH7" s="231">
        <f>IF(V7&lt;&gt;"",RANK(AG7,AG4:AG8),"")</f>
        <v>1</v>
      </c>
      <c r="AI7" s="231">
        <f>IF(V7&lt;&gt;"",SUMPRODUCT((AG4:AG8=AG7)*(AB4:AB8&gt;AB7)),"")</f>
        <v>0</v>
      </c>
      <c r="AJ7" s="231">
        <f>IF(V7&lt;&gt;"",SUMPRODUCT((AG4:AG8=AG7)*(AB4:AB8=AB7)*(Z4:Z8&gt;Z7)),"")</f>
        <v>0</v>
      </c>
      <c r="AK7" s="231">
        <f>IF(V7&lt;&gt;"",SUMPRODUCT((AG4:AG8=AG7)*(AB4:AB8=AB7)*(Z4:Z8=Z7)*(AD4:AD8&gt;AD7)),"")</f>
        <v>0</v>
      </c>
      <c r="AL7" s="231">
        <f>IF(V7&lt;&gt;"",SUMPRODUCT((AG4:AG8=AG7)*(AB4:AB8=AB7)*(Z4:Z8=Z7)*(AD4:AD8=AD7)*(AE4:AE8&gt;AE7)),"")</f>
        <v>0</v>
      </c>
      <c r="AM7" s="231">
        <f>IF(V7&lt;&gt;"",SUMPRODUCT((AG4:AG8=AG7)*(AB4:AB8=AB7)*(Z4:Z8=Z7)*(AD4:AD8=AD7)*(AE4:AE8=AE7)*(AF4:AF8&gt;AF7)),"")</f>
        <v>0</v>
      </c>
      <c r="AN7" s="231">
        <f>IF(V7&lt;&gt;"",IF(AN86&lt;&gt;"",IF(U82=3,AN86,AN86+U82),SUM(AH7:AM7)),"")</f>
        <v>1</v>
      </c>
      <c r="AO7" s="231" t="str">
        <f>IF(V7&lt;&gt;"",INDEX(V4:V8,MATCH(4,AN4:AN8,0),0),"")</f>
        <v>South Africa</v>
      </c>
      <c r="AP7" s="231" t="str">
        <f>IF(R6&lt;&gt;"",R6,"")</f>
        <v/>
      </c>
      <c r="AQ7" s="231">
        <f>SUMPRODUCT((DA$3:DA$105=AP7)*(DD$3:DD$105=AP8)*(DE$3:DE$105="W"))+SUMPRODUCT((DA$3:DA$105=AP7)*(DD$3:DD$105=AP5)*(DE$3:DE$105="W"))+SUMPRODUCT((DA$3:DA$105=AP7)*(DD$3:DD$105=AP6)*(DE$3:DE$105="W"))+SUMPRODUCT((DA$3:DA$105=AP8)*(DD$3:DD$105=AP7)*(DF$3:DF$105="W"))+SUMPRODUCT((DA$3:DA$105=AP5)*(DD$3:DD$105=AP7)*(DF$3:DF$105="W"))+SUMPRODUCT((DA$3:DA$105=AP6)*(DD$3:DD$105=AP7)*(DF$3:DF$105="W"))</f>
        <v>0</v>
      </c>
      <c r="AR7" s="231">
        <f>SUMPRODUCT((DA$3:DA$105=AP7)*(DD$3:DD$105=AP8)*(DE$3:DE$105="D"))+SUMPRODUCT((DA$3:DA$105=AP7)*(DD$3:DD$105=AP5)*(DE$3:DE$105="D"))+SUMPRODUCT((DA$3:DA$105=AP7)*(DD$3:DD$105=AP6)*(DE$3:DE$105="D"))+SUMPRODUCT((DA$3:DA$105=AP8)*(DD$3:DD$105=AP7)*(DE$3:DE$105="D"))+SUMPRODUCT((DA$3:DA$105=AP5)*(DD$3:DD$105=AP7)*(DE$3:DE$105="D"))+SUMPRODUCT((DA$3:DA$105=AP6)*(DD$3:DD$105=AP7)*(DE$3:DE$105="D"))</f>
        <v>0</v>
      </c>
      <c r="AS7" s="231">
        <f>SUMPRODUCT((DA$3:DA$105=AP7)*(DD$3:DD$105=AP8)*(DE$3:DE$105="L"))+SUMPRODUCT((DA$3:DA$105=AP7)*(DD$3:DD$105=AP5)*(DE$3:DE$105="L"))+SUMPRODUCT((DA$3:DA$105=AP7)*(DD$3:DD$105=AP6)*(DE$3:DE$105="L"))+SUMPRODUCT((DA$3:DA$105=AP8)*(DD$3:DD$105=AP7)*(DF$3:DF$105="L"))+SUMPRODUCT((DA$3:DA$105=AP5)*(DD$3:DD$105=AP7)*(DF$3:DF$105="L"))+SUMPRODUCT((DA$3:DA$105=AP6)*(DD$3:DD$105=AP7)*(DF$3:DF$105="L"))</f>
        <v>0</v>
      </c>
      <c r="AT7" s="231">
        <f>SUMPRODUCT((DA$3:DA$105=AP7)*(DD$3:DD$105=AP8)*DB$3:DB$105)+SUMPRODUCT((DA$3:DA$105=AP7)*(DD$3:DD$105=AP4)*DB$3:DB$105)+SUMPRODUCT((DA$3:DA$105=AP7)*(DD$3:DD$105=AP5)*DB$3:DB$105)+SUMPRODUCT((DA$3:DA$105=AP7)*(DD$3:DD$105=AP6)*DB$3:DB$105)+SUMPRODUCT((DA$3:DA$105=AP8)*(DD$3:DD$105=AP7)*DC$3:DC$105)+SUMPRODUCT((DA$3:DA$105=AP4)*(DD$3:DD$105=AP7)*DC$3:DC$105)+SUMPRODUCT((DA$3:DA$105=AP5)*(DD$3:DD$105=AP7)*DC$3:DC$105)+SUMPRODUCT((DA$3:DA$105=AP6)*(DD$3:DD$105=AP7)*DC$3:DC$105)</f>
        <v>0</v>
      </c>
      <c r="AU7" s="231">
        <f>SUMPRODUCT((DA$3:DA$105=AP7)*(DD$3:DD$105=AP8)*DC$3:DC$105)+SUMPRODUCT((DA$3:DA$105=AP7)*(DD$3:DD$105=AP4)*DC$3:DC$105)+SUMPRODUCT((DA$3:DA$105=AP7)*(DD$3:DD$105=AP5)*DC$3:DC$105)+SUMPRODUCT((DA$3:DA$105=AP7)*(DD$3:DD$105=AP6)*DC$3:DC$105)+SUMPRODUCT((DA$3:DA$105=AP8)*(DD$3:DD$105=AP7)*DB$3:DB$105)+SUMPRODUCT((DA$3:DA$105=AP4)*(DD$3:DD$105=AP7)*DB$3:DB$105)+SUMPRODUCT((DA$3:DA$105=AP5)*(DD$3:DD$105=AP7)*DB$3:DB$105)+SUMPRODUCT((DA$3:DA$105=AP6)*(DD$3:DD$105=AP7)*DB$3:DB$105)</f>
        <v>0</v>
      </c>
      <c r="AV7" s="231">
        <f>AT7-AU7+1000</f>
        <v>1000</v>
      </c>
      <c r="AW7" s="231" t="str">
        <f t="shared" si="8"/>
        <v/>
      </c>
      <c r="AX7" s="231" t="str">
        <f>IF(AP7&lt;&gt;"",VLOOKUP(AP7,C$4:I$52,7,FALSE),"")</f>
        <v/>
      </c>
      <c r="AY7" s="231" t="str">
        <f>IF(AP7&lt;&gt;"",VLOOKUP(AP7,C$4:I$52,5,FALSE),"")</f>
        <v/>
      </c>
      <c r="AZ7" s="231" t="str">
        <f>IF(AP7&lt;&gt;"",VLOOKUP(AP7,C$4:K$52,9,FALSE),"")</f>
        <v/>
      </c>
      <c r="BA7" s="231" t="str">
        <f t="shared" si="9"/>
        <v/>
      </c>
      <c r="BB7" s="231" t="str">
        <f>IF(AP7&lt;&gt;"",RANK(BA7,BA4:BA8),"")</f>
        <v/>
      </c>
      <c r="BC7" s="231" t="str">
        <f>IF(AP7&lt;&gt;"",SUMPRODUCT((BA4:BA8=BA7)*(AV4:AV8&gt;AV7)),"")</f>
        <v/>
      </c>
      <c r="BD7" s="231" t="str">
        <f>IF(AP7&lt;&gt;"",SUMPRODUCT((BA4:BA8=BA7)*(AV4:AV8=AV7)*(AT4:AT8&gt;AT7)),"")</f>
        <v/>
      </c>
      <c r="BE7" s="231" t="str">
        <f>IF(AP7&lt;&gt;"",SUMPRODUCT((BA4:BA8=BA7)*(AV4:AV8=AV7)*(AT4:AT8=AT7)*(AX4:AX8&gt;AX7)),"")</f>
        <v/>
      </c>
      <c r="BF7" s="231" t="str">
        <f>IF(AP7&lt;&gt;"",SUMPRODUCT((BA4:BA8=BA7)*(AV4:AV8=AV7)*(AT4:AT8=AT7)*(AX4:AX8=AX7)*(AY4:AY8&gt;AY7)),"")</f>
        <v/>
      </c>
      <c r="BG7" s="231" t="str">
        <f>IF(AP7&lt;&gt;"",SUMPRODUCT((BA4:BA8=BA7)*(AV4:AV8=AV7)*(AT4:AT8=AT7)*(AX4:AX8=AX7)*(AY4:AY8=AY7)*(AZ4:AZ8&gt;AZ7)),"")</f>
        <v/>
      </c>
      <c r="BH7" s="231" t="str">
        <f>IF(AP7&lt;&gt;"",IF(BH86&lt;&gt;"",IF(AO82=3,BH86,BH86+AO82),SUM(BB7:BG7)+1),"")</f>
        <v/>
      </c>
      <c r="BI7" s="231" t="str">
        <f>IF(AP7&lt;&gt;"",INDEX(AP5:AP8,MATCH(4,BH5:BH8,0),0),"")</f>
        <v/>
      </c>
      <c r="BJ7" s="231" t="str">
        <f>IF(S5&lt;&gt;"",S5,"")</f>
        <v/>
      </c>
      <c r="BK7" s="231">
        <f>SUMPRODUCT((DA$3:DA$105=BJ7)*(DD$3:DD$105=BJ8)*(DE$3:DE$105="W"))+SUMPRODUCT((DA$3:DA$105=BJ7)*(DD$3:DD$105=BJ9)*(DE$3:DE$105="W"))+SUMPRODUCT((DA$3:DA$105=BJ7)*(DD$3:DD$105=BJ6)*(DE$3:DE$105="W"))+SUMPRODUCT((DA$3:DA$105=BJ8)*(DD$3:DD$105=BJ7)*(DF$3:DF$105="W"))+SUMPRODUCT((DA$3:DA$105=BJ9)*(DD$3:DD$105=BJ7)*(DF$3:DF$105="W"))+SUMPRODUCT((DA$3:DA$105=BJ6)*(DD$3:DD$105=BJ7)*(DF$3:DF$105="W"))</f>
        <v>0</v>
      </c>
      <c r="BL7" s="231">
        <f>SUMPRODUCT((DA$3:DA$105=BJ7)*(DD$3:DD$105=BJ8)*(DE$3:DE$105="D"))+SUMPRODUCT((DA$3:DA$105=BJ7)*(DD$3:DD$105=BJ9)*(DE$3:DE$105="D"))+SUMPRODUCT((DA$3:DA$105=BJ7)*(DD$3:DD$105=BJ6)*(DE$3:DE$105="D"))+SUMPRODUCT((DA$3:DA$105=BJ8)*(DD$3:DD$105=BJ7)*(DE$3:DE$105="D"))+SUMPRODUCT((DA$3:DA$105=BJ9)*(DD$3:DD$105=BJ7)*(DE$3:DE$105="D"))+SUMPRODUCT((DA$3:DA$105=BJ6)*(DD$3:DD$105=BJ7)*(DE$3:DE$105="D"))</f>
        <v>0</v>
      </c>
      <c r="BM7" s="231">
        <f>SUMPRODUCT((DA$3:DA$105=BJ7)*(DD$3:DD$105=BJ8)*(DE$3:DE$105="L"))+SUMPRODUCT((DA$3:DA$105=BJ7)*(DD$3:DD$105=BJ9)*(DE$3:DE$105="L"))+SUMPRODUCT((DA$3:DA$105=BJ7)*(DD$3:DD$105=BJ6)*(DE$3:DE$105="L"))+SUMPRODUCT((DA$3:DA$105=BJ8)*(DD$3:DD$105=BJ7)*(DF$3:DF$105="L"))+SUMPRODUCT((DA$3:DA$105=BJ9)*(DD$3:DD$105=BJ7)*(DF$3:DF$105="L"))+SUMPRODUCT((DA$3:DA$105=BJ6)*(DD$3:DD$105=BJ7)*(DF$3:DF$105="L"))</f>
        <v>0</v>
      </c>
      <c r="BN7" s="231">
        <f>SUMPRODUCT((DA$3:DA$105=BJ7)*(DD$3:DD$105=BJ8)*DB$3:DB$105)+SUMPRODUCT((DA$3:DA$105=BJ7)*(DD$3:DD$105=BJ4)*DB$3:DB$105)+SUMPRODUCT((DA$3:DA$105=BJ7)*(DD$3:DD$105=BJ5)*DB$3:DB$105)+SUMPRODUCT((DA$3:DA$105=BJ7)*(DD$3:DD$105=BJ6)*DB$3:DB$105)+SUMPRODUCT((DA$3:DA$105=BJ8)*(DD$3:DD$105=BJ7)*DC$3:DC$105)+SUMPRODUCT((DA$3:DA$105=BJ4)*(DD$3:DD$105=BJ7)*DC$3:DC$105)+SUMPRODUCT((DA$3:DA$105=BJ5)*(DD$3:DD$105=BJ7)*DC$3:DC$105)+SUMPRODUCT((DA$3:DA$105=BJ6)*(DD$3:DD$105=BJ7)*DC$3:DC$105)</f>
        <v>0</v>
      </c>
      <c r="BO7" s="231">
        <f>SUMPRODUCT((DA$3:DA$105=BJ7)*(DD$3:DD$105=BJ8)*DC$3:DC$105)+SUMPRODUCT((DA$3:DA$105=BJ7)*(DD$3:DD$105=BJ4)*DC$3:DC$105)+SUMPRODUCT((DA$3:DA$105=BJ7)*(DD$3:DD$105=BJ5)*DC$3:DC$105)+SUMPRODUCT((DA$3:DA$105=BJ7)*(DD$3:DD$105=BJ6)*DC$3:DC$105)+SUMPRODUCT((DA$3:DA$105=BJ8)*(DD$3:DD$105=BJ7)*DB$3:DB$105)+SUMPRODUCT((DA$3:DA$105=BJ4)*(DD$3:DD$105=BJ7)*DB$3:DB$105)+SUMPRODUCT((DA$3:DA$105=BJ5)*(DD$3:DD$105=BJ7)*DB$3:DB$105)+SUMPRODUCT((DA$3:DA$105=BJ6)*(DD$3:DD$105=BJ7)*DB$3:DB$105)</f>
        <v>0</v>
      </c>
      <c r="BP7" s="231">
        <f>BN7-BO7+1000</f>
        <v>1000</v>
      </c>
      <c r="BQ7" s="231" t="str">
        <f t="shared" si="10"/>
        <v/>
      </c>
      <c r="BR7" s="231" t="str">
        <f>IF(BJ7&lt;&gt;"",VLOOKUP(BJ7,C$4:I$52,7,FALSE),"")</f>
        <v/>
      </c>
      <c r="BS7" s="231" t="str">
        <f>IF(BJ7&lt;&gt;"",VLOOKUP(BJ7,C$4:I$52,5,FALSE),"")</f>
        <v/>
      </c>
      <c r="BT7" s="231" t="str">
        <f>IF(BJ7&lt;&gt;"",VLOOKUP(BJ7,C$4:K$52,9,FALSE),"")</f>
        <v/>
      </c>
      <c r="BU7" s="231" t="str">
        <f t="shared" si="11"/>
        <v/>
      </c>
      <c r="BV7" s="231" t="str">
        <f>IF(BJ7&lt;&gt;"",RANK(BU7,BU4:BU8),"")</f>
        <v/>
      </c>
      <c r="BW7" s="231" t="str">
        <f>IF(BJ7&lt;&gt;"",SUMPRODUCT((BU4:BU8=BU7)*(BP4:BP8&gt;BP7)),"")</f>
        <v/>
      </c>
      <c r="BX7" s="231" t="str">
        <f>IF(BJ7&lt;&gt;"",SUMPRODUCT((BU4:BU8=BU7)*(BP4:BP8=BP7)*(BN4:BN8&gt;BN7)),"")</f>
        <v/>
      </c>
      <c r="BY7" s="231" t="str">
        <f>IF(BJ7&lt;&gt;"",SUMPRODUCT((BU4:BU8=BU7)*(BP4:BP8=BP7)*(BN4:BN8=BN7)*(BR4:BR8&gt;BR7)),"")</f>
        <v/>
      </c>
      <c r="BZ7" s="231" t="str">
        <f>IF(BJ7&lt;&gt;"",SUMPRODUCT((BU4:BU8=BU7)*(BP4:BP8=BP7)*(BN4:BN8=BN7)*(BR4:BR8=BR7)*(BS4:BS8&gt;BS7)),"")</f>
        <v/>
      </c>
      <c r="CA7" s="231" t="str">
        <f>IF(BJ7&lt;&gt;"",SUMPRODUCT((BU4:BU8=BU7)*(BP4:BP8=BP7)*(BN4:BN8=BN7)*(BR4:BR8=BR7)*(BS4:BS8=BS7)*(BT4:BT8&gt;BT7)),"")</f>
        <v/>
      </c>
      <c r="CB7" s="231" t="str">
        <f>IF(BJ7&lt;&gt;"",SUM(BV7:CA7)+2,"")</f>
        <v/>
      </c>
      <c r="CC7" s="231" t="str">
        <f>IF(BJ7&lt;&gt;"",INDEX(BJ6:BJ8,MATCH(4,CB6:CB8,0),0),"")</f>
        <v/>
      </c>
      <c r="CD7" s="231" t="str">
        <f>IF(T4&lt;&gt;"",T4,"")</f>
        <v/>
      </c>
      <c r="CE7" s="231">
        <f>SUMPRODUCT((DA$3:DA$105=CD7)*(DD$3:DD$105=CD8)*(DE$3:DE$105="W"))+SUMPRODUCT((DA$3:DA$105=CD7)*(DD$3:DD$105=CD9)*(DE$3:DE$105="W"))+SUMPRODUCT((DA$3:DA$105=CD7)*(DD$3:DD$105=CD10)*(DE$3:DE$105="W"))+SUMPRODUCT((DA$3:DA$105=CD8)*(DD$3:DD$105=CD7)*(DF$3:DF$105="W"))+SUMPRODUCT((DA$3:DA$105=CD9)*(DD$3:DD$105=CD7)*(DF$3:DF$105="W"))+SUMPRODUCT((DA$3:DA$105=CD10)*(DD$3:DD$105=CD7)*(DF$3:DF$105="W"))</f>
        <v>0</v>
      </c>
      <c r="CF7" s="231">
        <f>SUMPRODUCT((DA$3:DA$105=CD7)*(DD$3:DD$105=CD8)*(DE$3:DE$105="D"))+SUMPRODUCT((DA$3:DA$105=CD7)*(DD$3:DD$105=CD9)*(DE$3:DE$105="D"))+SUMPRODUCT((DA$3:DA$105=CD7)*(DD$3:DD$105=CD10)*(DE$3:DE$105="D"))+SUMPRODUCT((DA$3:DA$105=CD8)*(DD$3:DD$105=CD7)*(DE$3:DE$105="D"))+SUMPRODUCT((DA$3:DA$105=CD9)*(DD$3:DD$105=CD7)*(DE$3:DE$105="D"))+SUMPRODUCT((DA$3:DA$105=CD10)*(DD$3:DD$105=CD7)*(DE$3:DE$105="D"))</f>
        <v>0</v>
      </c>
      <c r="CG7" s="231">
        <f>SUMPRODUCT((DA$3:DA$105=CD7)*(DD$3:DD$105=CD8)*(DE$3:DE$105="L"))+SUMPRODUCT((DA$3:DA$105=CD7)*(DD$3:DD$105=CD9)*(DE$3:DE$105="L"))+SUMPRODUCT((DA$3:DA$105=CD7)*(DD$3:DD$105=CD10)*(DE$3:DE$105="L"))+SUMPRODUCT((DA$3:DA$105=CD8)*(DD$3:DD$105=CD7)*(DF$3:DF$105="L"))+SUMPRODUCT((DA$3:DA$105=CD9)*(DD$3:DD$105=CD7)*(DF$3:DF$105="L"))+SUMPRODUCT((DA$3:DA$105=CD10)*(DD$3:DD$105=CD7)*(DF$3:DF$105="L"))</f>
        <v>0</v>
      </c>
      <c r="CH7" s="231">
        <f>SUMPRODUCT((DA$3:DA$105=CD7)*(DD$3:DD$105=CD8)*DB$3:DB$105)+SUMPRODUCT((DA$3:DA$105=CD7)*(DD$3:DD$105=CD4)*DB$3:DB$105)+SUMPRODUCT((DA$3:DA$105=CD7)*(DD$3:DD$105=CD5)*DB$3:DB$105)+SUMPRODUCT((DA$3:DA$105=CD7)*(DD$3:DD$105=CD6)*DB$3:DB$105)+SUMPRODUCT((DA$3:DA$105=CD8)*(DD$3:DD$105=CD7)*DC$3:DC$105)+SUMPRODUCT((DA$3:DA$105=CD4)*(DD$3:DD$105=CD7)*DC$3:DC$105)+SUMPRODUCT((DA$3:DA$105=CD5)*(DD$3:DD$105=CD7)*DC$3:DC$105)+SUMPRODUCT((DA$3:DA$105=CD6)*(DD$3:DD$105=CD7)*DC$3:DC$105)</f>
        <v>0</v>
      </c>
      <c r="CI7" s="231">
        <f>SUMPRODUCT((DA$3:DA$105=CD7)*(DD$3:DD$105=CD8)*DC$3:DC$105)+SUMPRODUCT((DA$3:DA$105=CD7)*(DD$3:DD$105=CD4)*DC$3:DC$105)+SUMPRODUCT((DA$3:DA$105=CD7)*(DD$3:DD$105=CD5)*DC$3:DC$105)+SUMPRODUCT((DA$3:DA$105=CD7)*(DD$3:DD$105=CD6)*DC$3:DC$105)+SUMPRODUCT((DA$3:DA$105=CD8)*(DD$3:DD$105=CD7)*DB$3:DB$105)+SUMPRODUCT((DA$3:DA$105=CD4)*(DD$3:DD$105=CD7)*DB$3:DB$105)+SUMPRODUCT((DA$3:DA$105=CD5)*(DD$3:DD$105=CD7)*DB$3:DB$105)+SUMPRODUCT((DA$3:DA$105=CD6)*(DD$3:DD$105=CD7)*DB$3:DB$105)</f>
        <v>0</v>
      </c>
      <c r="CJ7" s="231">
        <f>CH7-CI7+1000</f>
        <v>1000</v>
      </c>
      <c r="CK7" s="231" t="str">
        <f t="shared" ref="CK7" si="12">IF(CD7&lt;&gt;"",CE7*3+CF7*1,"")</f>
        <v/>
      </c>
      <c r="CL7" s="231" t="str">
        <f>IF(CD7&lt;&gt;"",VLOOKUP(CD7,C$4:I$52,7,FALSE),"")</f>
        <v/>
      </c>
      <c r="CM7" s="231" t="str">
        <f>IF(CD7&lt;&gt;"",VLOOKUP(CD7,C$4:I$52,5,FALSE),"")</f>
        <v/>
      </c>
      <c r="CN7" s="231" t="str">
        <f>IF(CD7&lt;&gt;"",VLOOKUP(CD7,C$4:K$52,9,FALSE),"")</f>
        <v/>
      </c>
      <c r="CO7" s="231" t="str">
        <f t="shared" ref="CO7" si="13">CK7</f>
        <v/>
      </c>
      <c r="CP7" s="231" t="str">
        <f>IF(CD7&lt;&gt;"",RANK(CO7,CO4:CO8),"")</f>
        <v/>
      </c>
      <c r="CQ7" s="231" t="str">
        <f>IF(CD7&lt;&gt;"",SUMPRODUCT((CO4:CO8=CO7)*(CJ4:CJ8&gt;CJ7)),"")</f>
        <v/>
      </c>
      <c r="CR7" s="231" t="str">
        <f>IF(CD7&lt;&gt;"",SUMPRODUCT((CO4:CO8=CO7)*(CJ4:CJ8=CJ7)*(CH4:CH8&gt;CH7)),"")</f>
        <v/>
      </c>
      <c r="CS7" s="231" t="str">
        <f>IF(CD7&lt;&gt;"",SUMPRODUCT((CO4:CO8=CO7)*(CJ4:CJ8=CJ7)*(CH4:CH8=CH7)*(CL4:CL8&gt;CL7)),"")</f>
        <v/>
      </c>
      <c r="CT7" s="231" t="str">
        <f>IF(CD7&lt;&gt;"",SUMPRODUCT((CO4:CO8=CO7)*(CJ4:CJ8=CJ7)*(CH4:CH8=CH7)*(CL4:CL8=CL7)*(CM4:CM8&gt;CM7)),"")</f>
        <v/>
      </c>
      <c r="CU7" s="231" t="str">
        <f>IF(CD7&lt;&gt;"",SUMPRODUCT((CO4:CO8=CO7)*(CJ4:CJ8=CJ7)*(CH4:CH8=CH7)*(CL4:CL8=CL7)*(CM4:CM8=CM7)*(CN4:CN8&gt;CN7)),"")</f>
        <v/>
      </c>
      <c r="CV7" s="231" t="str">
        <f>IF(CD7&lt;&gt;"",SUM(CP7:CU7)+3,"")</f>
        <v/>
      </c>
      <c r="CW7" s="231" t="str">
        <f>IF(CD7&lt;&gt;"",IF(CV7=4,CD7,CD8),"")</f>
        <v/>
      </c>
      <c r="CX7" s="231" t="str">
        <f>IF(CW7&lt;&gt;"",CW7,IF(CC7&lt;&gt;"",CC7,IF(BI7&lt;&gt;"",BI7,IF(AO7&lt;&gt;"",AO7,O7))))</f>
        <v>South Africa</v>
      </c>
      <c r="CY7" s="231">
        <v>4</v>
      </c>
      <c r="CZ7" s="231">
        <v>5</v>
      </c>
      <c r="DA7" s="234" t="str">
        <f>Matches!H8</f>
        <v>Haiti</v>
      </c>
      <c r="DB7" s="234">
        <f>IF($DA$2&lt;&gt;"",IF(AND(Matches!J8&lt;&gt;"",Matches!K8&lt;&gt;""),Matches!J8,0),"")</f>
        <v>0</v>
      </c>
      <c r="DC7" s="234">
        <f>IF($DA$2&lt;&gt;"",IF(AND(Matches!J8&lt;&gt;"",Matches!K8&lt;&gt;""),Matches!K8,0),"")</f>
        <v>0</v>
      </c>
      <c r="DD7" s="234" t="str">
        <f>Matches!M8</f>
        <v>Scotland</v>
      </c>
      <c r="DE7" s="234" t="str">
        <f>IF(AND(Matches!J8&lt;&gt;"",Matches!K8&lt;&gt;""),IF(DB7&gt;DC7,"W",IF(DB7=DC7,"D","L")),"")</f>
        <v/>
      </c>
      <c r="DF7" s="231" t="str">
        <f t="shared" si="0"/>
        <v/>
      </c>
      <c r="DQ7" s="238" t="s">
        <v>72</v>
      </c>
      <c r="DR7" s="239"/>
      <c r="DS7" s="240" t="str">
        <f>EE7</f>
        <v>Mexico</v>
      </c>
      <c r="DT7" s="241" t="s">
        <v>634</v>
      </c>
      <c r="DU7" s="240"/>
      <c r="DV7" s="233">
        <v>1</v>
      </c>
      <c r="DW7" s="242">
        <v>-12</v>
      </c>
      <c r="DX7" s="230">
        <f>TimeZoneData</f>
        <v>0</v>
      </c>
      <c r="DY7" s="243">
        <v>1</v>
      </c>
      <c r="DZ7" s="244">
        <f t="shared" ref="DZ7:DZ71" si="14">EA7</f>
        <v>46184.625</v>
      </c>
      <c r="EA7" s="245">
        <v>46184.625</v>
      </c>
      <c r="EB7" s="246">
        <f t="shared" ref="EB7:EB38" si="15">EA7+TimeZoneData/24</f>
        <v>46184.625</v>
      </c>
      <c r="EC7" s="245"/>
      <c r="ED7" s="233">
        <f>SUM(Matches!S5:S8)</f>
        <v>10</v>
      </c>
      <c r="EE7" s="233" t="str">
        <f>INDEX(Language!$A$1:$K$177,MATCH(Setup!B8,Language!$B$1:$B$177,0),MATCH(Setup!$C$5,Language!$A$1:$J$1,0))</f>
        <v>Mexico</v>
      </c>
    </row>
    <row r="8" spans="1:135" ht="13.5" customHeight="1" x14ac:dyDescent="0.25">
      <c r="CZ8" s="231">
        <v>6</v>
      </c>
      <c r="DA8" s="234" t="str">
        <f>Matches!H9</f>
        <v>Australia</v>
      </c>
      <c r="DB8" s="234">
        <f>IF($DA$2&lt;&gt;"",IF(AND(Matches!J9&lt;&gt;"",Matches!K9&lt;&gt;""),Matches!J9,0),"")</f>
        <v>0</v>
      </c>
      <c r="DC8" s="234">
        <f>IF($DA$2&lt;&gt;"",IF(AND(Matches!J9&lt;&gt;"",Matches!K9&lt;&gt;""),Matches!K9,0),"")</f>
        <v>0</v>
      </c>
      <c r="DD8" s="234" t="str">
        <f>Matches!M9</f>
        <v>Türkiye</v>
      </c>
      <c r="DE8" s="234" t="str">
        <f>IF(AND(Matches!J9&lt;&gt;"",Matches!K9&lt;&gt;""),IF(DB8&gt;DC8,"W",IF(DB8=DC8,"D","L")),"")</f>
        <v/>
      </c>
      <c r="DF8" s="231" t="str">
        <f t="shared" si="0"/>
        <v/>
      </c>
      <c r="DQ8" s="238"/>
      <c r="DR8" s="239"/>
      <c r="DS8" s="240" t="str">
        <f t="shared" ref="DS8:DS54" si="16">EE8</f>
        <v>South Africa</v>
      </c>
      <c r="DT8" s="241" t="s">
        <v>635</v>
      </c>
      <c r="DU8" s="240"/>
      <c r="DV8" s="233">
        <v>2</v>
      </c>
      <c r="DW8" s="242">
        <v>-11.5</v>
      </c>
      <c r="DX8" s="230"/>
      <c r="DY8" s="243">
        <v>2</v>
      </c>
      <c r="DZ8" s="244">
        <f t="shared" si="14"/>
        <v>46184.916666666664</v>
      </c>
      <c r="EA8" s="245">
        <v>46184.916666666664</v>
      </c>
      <c r="EB8" s="246">
        <f t="shared" si="15"/>
        <v>46184.916666666664</v>
      </c>
      <c r="EC8" s="245"/>
      <c r="EE8" s="233" t="str">
        <f>INDEX(Language!$A$1:$K$177,MATCH(Setup!B9,Language!$B$1:$B$177,0),MATCH(Setup!$C$5,Language!$A$1:$J$1,0))</f>
        <v>South Africa</v>
      </c>
    </row>
    <row r="9" spans="1:135" ht="13.5" customHeight="1" x14ac:dyDescent="0.25">
      <c r="BH9" s="231" t="s">
        <v>457</v>
      </c>
      <c r="CZ9" s="231">
        <v>7</v>
      </c>
      <c r="DA9" s="234" t="str">
        <f>Matches!H10</f>
        <v>Brazil</v>
      </c>
      <c r="DB9" s="234">
        <f>IF($DA$2&lt;&gt;"",IF(AND(Matches!J10&lt;&gt;"",Matches!K10&lt;&gt;""),Matches!J10,0),"")</f>
        <v>0</v>
      </c>
      <c r="DC9" s="234">
        <f>IF($DA$2&lt;&gt;"",IF(AND(Matches!J10&lt;&gt;"",Matches!K10&lt;&gt;""),Matches!K10,0),"")</f>
        <v>0</v>
      </c>
      <c r="DD9" s="234" t="str">
        <f>Matches!M10</f>
        <v>Morocco</v>
      </c>
      <c r="DE9" s="234" t="str">
        <f>IF(AND(Matches!J10&lt;&gt;"",Matches!K10&lt;&gt;""),IF(DB9&gt;DC9,"W",IF(DB9=DC9,"D","L")),"")</f>
        <v/>
      </c>
      <c r="DF9" s="231" t="str">
        <f t="shared" si="0"/>
        <v/>
      </c>
      <c r="DQ9" s="238"/>
      <c r="DR9" s="239"/>
      <c r="DS9" s="240" t="str">
        <f t="shared" si="16"/>
        <v>Korea Republic</v>
      </c>
      <c r="DT9" s="241" t="s">
        <v>636</v>
      </c>
      <c r="DU9" s="240"/>
      <c r="DV9" s="233">
        <v>3</v>
      </c>
      <c r="DW9" s="242">
        <v>-11</v>
      </c>
      <c r="DX9" s="230"/>
      <c r="DY9" s="243">
        <v>3</v>
      </c>
      <c r="DZ9" s="244">
        <f t="shared" si="14"/>
        <v>46185.625</v>
      </c>
      <c r="EA9" s="245">
        <v>46185.625</v>
      </c>
      <c r="EB9" s="246">
        <f t="shared" si="15"/>
        <v>46185.625</v>
      </c>
      <c r="EC9" s="245"/>
      <c r="EE9" s="233" t="str">
        <f>INDEX(Language!$A$1:$K$177,MATCH(Setup!B10,Language!$B$1:$B$177,0),MATCH(Setup!$C$5,Language!$A$1:$J$1,0))</f>
        <v>Korea Republic</v>
      </c>
    </row>
    <row r="10" spans="1:135" ht="13.5" customHeight="1" x14ac:dyDescent="0.25">
      <c r="CZ10" s="231">
        <v>8</v>
      </c>
      <c r="DA10" s="234" t="str">
        <f>Matches!H11</f>
        <v>Qatar</v>
      </c>
      <c r="DB10" s="234">
        <f>IF($DA$2&lt;&gt;"",IF(AND(Matches!J11&lt;&gt;"",Matches!K11&lt;&gt;""),Matches!J11,0),"")</f>
        <v>0</v>
      </c>
      <c r="DC10" s="234">
        <f>IF($DA$2&lt;&gt;"",IF(AND(Matches!J11&lt;&gt;"",Matches!K11&lt;&gt;""),Matches!K11,0),"")</f>
        <v>0</v>
      </c>
      <c r="DD10" s="234" t="str">
        <f>Matches!M11</f>
        <v>Switzerland</v>
      </c>
      <c r="DE10" s="234" t="str">
        <f>IF(AND(Matches!J11&lt;&gt;"",Matches!K11&lt;&gt;""),IF(DB10&gt;DC10,"W",IF(DB10=DC10,"D","L")),"")</f>
        <v/>
      </c>
      <c r="DF10" s="231" t="str">
        <f t="shared" si="0"/>
        <v/>
      </c>
      <c r="DQ10" s="238"/>
      <c r="DR10" s="239"/>
      <c r="DS10" s="240" t="str">
        <f t="shared" si="16"/>
        <v>Czechia</v>
      </c>
      <c r="DT10" s="241" t="s">
        <v>637</v>
      </c>
      <c r="DU10" s="240"/>
      <c r="DV10" s="233">
        <v>4</v>
      </c>
      <c r="DW10" s="242">
        <v>-10.5</v>
      </c>
      <c r="DX10" s="230"/>
      <c r="DY10" s="243">
        <v>4</v>
      </c>
      <c r="DZ10" s="244">
        <f t="shared" si="14"/>
        <v>46185.875</v>
      </c>
      <c r="EA10" s="245">
        <v>46185.875</v>
      </c>
      <c r="EB10" s="246">
        <f t="shared" si="15"/>
        <v>46185.875</v>
      </c>
      <c r="EC10" s="245"/>
      <c r="EE10" s="233" t="str">
        <f>INDEX(Language!$A$1:$K$177,MATCH(Setup!B11,Language!$B$1:$B$177,0),MATCH(Setup!$C$5,Language!$A$1:$J$1,0))</f>
        <v>Czechia</v>
      </c>
    </row>
    <row r="11" spans="1:135" ht="13.5" customHeight="1" x14ac:dyDescent="0.25">
      <c r="A11" s="230">
        <f>Setup!F12+100</f>
        <v>129</v>
      </c>
      <c r="B11" s="231">
        <f>VLOOKUP(C11,CX$11:CY$15,2,FALSE)</f>
        <v>2</v>
      </c>
      <c r="C11" s="232" t="str">
        <f>EE11</f>
        <v>Canada</v>
      </c>
      <c r="D11" s="231">
        <f>SUMPRODUCT((DA$3:DA$105=C11)*(DE$3:DE$105="W"))+SUMPRODUCT((DD$3:DD$105=C11)*(DF$3:DF$105="W"))</f>
        <v>0</v>
      </c>
      <c r="E11" s="231">
        <f>SUMPRODUCT((DA$3:DA$105=C11)*(DE$3:DE$105="D"))+SUMPRODUCT((DD$3:DD$105=C11)*(DF$3:DF$105="D"))</f>
        <v>0</v>
      </c>
      <c r="F11" s="231">
        <f>SUMPRODUCT((DA$3:DA$105=C11)*(DE$3:DE$105="L"))+SUMPRODUCT((DD$3:DD$105=C11)*(DF$3:DF$105="L"))</f>
        <v>0</v>
      </c>
      <c r="G11" s="231">
        <f>SUMIF(DA3:DA123,C11,DB3:DB123)+SUMIF(DD3:DD123,C11,DC3:DC123)</f>
        <v>0</v>
      </c>
      <c r="H11" s="231">
        <f>SUMIF(DD3:DD123,C11,DB3:DB123)+SUMIF(DA3:DA123,C11,DC3:DC123)</f>
        <v>0</v>
      </c>
      <c r="I11" s="231">
        <f t="shared" ref="I11:I14" si="17">G11-H11+1000</f>
        <v>1000</v>
      </c>
      <c r="J11" s="231">
        <f t="shared" ref="J11:J14" si="18">D11*3+E11*1</f>
        <v>0</v>
      </c>
      <c r="K11" s="231">
        <f>IF(Setup!G12&lt;&gt;"",Setup!G12,-A11)</f>
        <v>-129</v>
      </c>
      <c r="L11" s="231">
        <f>IF(COUNTIF(J11:J15,4)&lt;&gt;4,RANK(J11,J11:J15),J90)</f>
        <v>1</v>
      </c>
      <c r="N11" s="231">
        <f>SUMPRODUCT((L11:L14=L11)*(K11:K14&lt;K11))+L11</f>
        <v>3</v>
      </c>
      <c r="O11" s="232" t="str">
        <f>INDEX(C11:C15,MATCH(1,N11:N15,0),0)</f>
        <v>Bosnia and Herzegovina</v>
      </c>
      <c r="P11" s="231">
        <f>INDEX(L11:L15,MATCH(O11,C11:C15,0),0)</f>
        <v>1</v>
      </c>
      <c r="Q11" s="231" t="str">
        <f>IF(P12=1,O11,"")</f>
        <v>Bosnia and Herzegovina</v>
      </c>
      <c r="R11" s="231" t="str">
        <f>IF(P13=2,O12,"")</f>
        <v/>
      </c>
      <c r="S11" s="231" t="str">
        <f>IF(P14=3,O13,"")</f>
        <v/>
      </c>
      <c r="T11" s="231" t="str">
        <f>IF(P15=4,O14,"")</f>
        <v/>
      </c>
      <c r="V11" s="231" t="str">
        <f>IF(Q11&lt;&gt;"",Q11,"")</f>
        <v>Bosnia and Herzegovina</v>
      </c>
      <c r="W11" s="231">
        <f>SUMPRODUCT((DA$3:DA$105=V11)*(DD$3:DD$105=V12)*(DE$3:DE$105="W"))+SUMPRODUCT((DA$3:DA$105=V11)*(DD$3:DD$105=V13)*(DE$3:DE$105="W"))+SUMPRODUCT((DA$3:DA$105=V11)*(DD$3:DD$105=V14)*(DE$3:DE$105="W"))+SUMPRODUCT((DA$3:DA$105=V11)*(DD$3:DD$105=V15)*(DE$3:DE$105="W"))+SUMPRODUCT((DA$3:DA$105=V12)*(DD$3:DD$105=V11)*(DF$3:DF$105="W"))+SUMPRODUCT((DA$3:DA$105=V13)*(DD$3:DD$105=V11)*(DF$3:DF$105="W"))+SUMPRODUCT((DA$3:DA$105=V14)*(DD$3:DD$105=V11)*(DF$3:DF$105="W"))+SUMPRODUCT((DA$3:DA$105=V15)*(DD$3:DD$105=V11)*(DF$3:DF$105="W"))</f>
        <v>0</v>
      </c>
      <c r="X11" s="231">
        <f>SUMPRODUCT((DA$3:DA$105=V11)*(DD$3:DD$105=V12)*(DE$3:DE$105="D"))+SUMPRODUCT((DA$3:DA$105=V11)*(DD$3:DD$105=V13)*(DE$3:DE$105="D"))+SUMPRODUCT((DA$3:DA$105=V11)*(DD$3:DD$105=V14)*(DE$3:DE$105="D"))+SUMPRODUCT((DA$3:DA$105=V11)*(DD$3:DD$105=V15)*(DE$3:DE$105="D"))+SUMPRODUCT((DA$3:DA$105=V12)*(DD$3:DD$105=V11)*(DE$3:DE$105="D"))+SUMPRODUCT((DA$3:DA$105=V13)*(DD$3:DD$105=V11)*(DE$3:DE$105="D"))+SUMPRODUCT((DA$3:DA$105=V14)*(DD$3:DD$105=V11)*(DE$3:DE$105="D"))+SUMPRODUCT((DA$3:DA$105=V15)*(DD$3:DD$105=V11)*(DE$3:DE$105="D"))</f>
        <v>0</v>
      </c>
      <c r="Y11" s="231">
        <f>SUMPRODUCT((DA$3:DA$105=V11)*(DD$3:DD$105=V12)*(DE$3:DE$105="L"))+SUMPRODUCT((DA$3:DA$105=V11)*(DD$3:DD$105=V13)*(DE$3:DE$105="L"))+SUMPRODUCT((DA$3:DA$105=V11)*(DD$3:DD$105=V14)*(DE$3:DE$105="L"))+SUMPRODUCT((DA$3:DA$105=V11)*(DD$3:DD$105=V15)*(DE$3:DE$105="L"))+SUMPRODUCT((DA$3:DA$105=V12)*(DD$3:DD$105=V11)*(DF$3:DF$105="L"))+SUMPRODUCT((DA$3:DA$105=V13)*(DD$3:DD$105=V11)*(DF$3:DF$105="L"))+SUMPRODUCT((DA$3:DA$105=V14)*(DD$3:DD$105=V11)*(DF$3:DF$105="L"))+SUMPRODUCT((DA$3:DA$105=V15)*(DD$3:DD$105=V11)*(DF$3:DF$105="L"))</f>
        <v>0</v>
      </c>
      <c r="Z11" s="231">
        <f>SUMPRODUCT((DA$3:DA$105=V11)*(DD$3:DD$105=V12)*DB$3:DB$105)+SUMPRODUCT((DA$3:DA$105=V11)*(DD$3:DD$105=V13)*DB$3:DB$105)+SUMPRODUCT((DA$3:DA$105=V11)*(DD$3:DD$105=V14)*DB$3:DB$105)+SUMPRODUCT((DA$3:DA$105=V11)*(DD$3:DD$105=V15)*DB$3:DB$105)+SUMPRODUCT((DA$3:DA$105=V12)*(DD$3:DD$105=V11)*DC$3:DC$105)+SUMPRODUCT((DA$3:DA$105=V13)*(DD$3:DD$105=V11)*DC$3:DC$105)+SUMPRODUCT((DA$3:DA$105=V14)*(DD$3:DD$105=V11)*DC$3:DC$105)+SUMPRODUCT((DA$3:DA$105=V15)*(DD$3:DD$105=V11)*DC$3:DC$105)</f>
        <v>0</v>
      </c>
      <c r="AA11" s="231">
        <f>SUMPRODUCT((DA$3:DA$105=V11)*(DD$3:DD$105=V12)*DC$3:DC$105)+SUMPRODUCT((DA$3:DA$105=V11)*(DD$3:DD$105=V13)*DC$3:DC$105)+SUMPRODUCT((DA$3:DA$105=V11)*(DD$3:DD$105=V14)*DC$3:DC$105)+SUMPRODUCT((DA$3:DA$105=V11)*(DD$3:DD$105=V15)*DC$3:DC$105)+SUMPRODUCT((DA$3:DA$105=V12)*(DD$3:DD$105=V11)*DB$3:DB$105)+SUMPRODUCT((DA$3:DA$105=V13)*(DD$3:DD$105=V11)*DB$3:DB$105)+SUMPRODUCT((DA$3:DA$105=V14)*(DD$3:DD$105=V11)*DB$3:DB$105)+SUMPRODUCT((DA$3:DA$105=V15)*(DD$3:DD$105=V11)*DB$3:DB$105)</f>
        <v>0</v>
      </c>
      <c r="AB11" s="231">
        <f>Z11-AA11+1000</f>
        <v>1000</v>
      </c>
      <c r="AC11" s="231">
        <f t="shared" ref="AC11:AC14" si="19">IF(V11&lt;&gt;"",W11*3+X11*1,"")</f>
        <v>0</v>
      </c>
      <c r="AD11" s="231">
        <f>IF(V11&lt;&gt;"",VLOOKUP(V11,C$4:I$52,7,FALSE),"")</f>
        <v>1000</v>
      </c>
      <c r="AE11" s="231">
        <f>IF(V11&lt;&gt;"",VLOOKUP(V11,C$4:I$52,5,FALSE),"")</f>
        <v>0</v>
      </c>
      <c r="AF11" s="231">
        <f>IF(V11&lt;&gt;"",VLOOKUP(V11,C$4:K$52,9,FALSE),"")</f>
        <v>-171</v>
      </c>
      <c r="AG11" s="231">
        <f t="shared" ref="AG11:AG14" si="20">AC11</f>
        <v>0</v>
      </c>
      <c r="AH11" s="231">
        <f>IF(V11&lt;&gt;"",RANK(AG11,AG11:AG15),"")</f>
        <v>1</v>
      </c>
      <c r="AI11" s="231">
        <f>IF(V11&lt;&gt;"",SUMPRODUCT((AG11:AG15=AG11)*(AB11:AB15&gt;AB11)),"")</f>
        <v>0</v>
      </c>
      <c r="AJ11" s="231">
        <f>IF(V11&lt;&gt;"",SUMPRODUCT((AG11:AG15=AG11)*(AB11:AB15=AB11)*(Z11:Z15&gt;Z11)),"")</f>
        <v>0</v>
      </c>
      <c r="AK11" s="231">
        <f>IF(V11&lt;&gt;"",SUMPRODUCT((AG11:AG15=AG11)*(AB11:AB15=AB11)*(Z11:Z15=Z11)*(AD11:AD15&gt;AD11)),"")</f>
        <v>0</v>
      </c>
      <c r="AL11" s="231">
        <f>IF(V11&lt;&gt;"",SUMPRODUCT((AG11:AG15=AG11)*(AB11:AB15=AB11)*(Z11:Z15=Z11)*(AD11:AD15=AD11)*(AE11:AE15&gt;AE11)),"")</f>
        <v>0</v>
      </c>
      <c r="AM11" s="231">
        <f>IF(V11&lt;&gt;"",SUMPRODUCT((AG11:AG15=AG11)*(AB11:AB15=AB11)*(Z11:Z15=Z11)*(AD11:AD15=AD11)*(AE11:AE15=AE11)*(AF11:AF15&gt;AF11)),"")</f>
        <v>3</v>
      </c>
      <c r="AN11" s="231">
        <f>IF(V11&lt;&gt;"",IF(AN90&lt;&gt;"",IF(U89=3,AN90,AN90+U89),SUM(AH11:AM11)),"")</f>
        <v>4</v>
      </c>
      <c r="AO11" s="231" t="str">
        <f>IF(V11&lt;&gt;"",INDEX(V11:V15,MATCH(1,AN11:AN15,0),0),"")</f>
        <v>Switzerland</v>
      </c>
      <c r="CX11" s="231" t="str">
        <f>IF(AO11&lt;&gt;"",AO11,O11)</f>
        <v>Switzerland</v>
      </c>
      <c r="CY11" s="231">
        <v>1</v>
      </c>
      <c r="CZ11" s="231">
        <v>9</v>
      </c>
      <c r="DA11" s="234" t="str">
        <f>Matches!H12</f>
        <v>Cote D'Voire</v>
      </c>
      <c r="DB11" s="234">
        <f>IF($DA$2&lt;&gt;"",IF(AND(Matches!J12&lt;&gt;"",Matches!K12&lt;&gt;""),Matches!J12,0),"")</f>
        <v>0</v>
      </c>
      <c r="DC11" s="234">
        <f>IF($DA$2&lt;&gt;"",IF(AND(Matches!J12&lt;&gt;"",Matches!K12&lt;&gt;""),Matches!K12,0),"")</f>
        <v>0</v>
      </c>
      <c r="DD11" s="234" t="str">
        <f>Matches!M12</f>
        <v>Ecuador</v>
      </c>
      <c r="DE11" s="234" t="str">
        <f>IF(AND(Matches!J12&lt;&gt;"",Matches!K12&lt;&gt;""),IF(DB11&gt;DC11,"W",IF(DB11=DC11,"D","L")),"")</f>
        <v/>
      </c>
      <c r="DF11" s="231" t="str">
        <f t="shared" si="0"/>
        <v/>
      </c>
      <c r="DQ11" s="238" t="s">
        <v>73</v>
      </c>
      <c r="DR11" s="239"/>
      <c r="DS11" s="240" t="str">
        <f t="shared" si="16"/>
        <v>Canada</v>
      </c>
      <c r="DT11" s="241" t="s">
        <v>638</v>
      </c>
      <c r="DU11" s="240"/>
      <c r="DV11" s="233">
        <v>5</v>
      </c>
      <c r="DW11" s="242">
        <v>-10</v>
      </c>
      <c r="DX11" s="230"/>
      <c r="DY11" s="243">
        <v>5</v>
      </c>
      <c r="DZ11" s="244">
        <f t="shared" si="14"/>
        <v>46186.875</v>
      </c>
      <c r="EA11" s="245">
        <v>46186.875</v>
      </c>
      <c r="EB11" s="246">
        <f t="shared" si="15"/>
        <v>46186.875</v>
      </c>
      <c r="EC11" s="245"/>
      <c r="EE11" s="233" t="str">
        <f>INDEX(Language!$A$1:$K$177,MATCH(Setup!B12,Language!$B$1:$B$177,0),MATCH(Setup!$C$5,Language!$A$1:$J$1,0))</f>
        <v>Canada</v>
      </c>
    </row>
    <row r="12" spans="1:135" ht="13.5" customHeight="1" x14ac:dyDescent="0.25">
      <c r="A12" s="230">
        <f>Setup!F13+100</f>
        <v>171</v>
      </c>
      <c r="B12" s="231">
        <f>VLOOKUP(C12,CX$11:CY$15,2,FALSE)</f>
        <v>4</v>
      </c>
      <c r="C12" s="232" t="str">
        <f t="shared" ref="C12:C14" si="21">EE12</f>
        <v>Bosnia and Herzegovina</v>
      </c>
      <c r="D12" s="231">
        <f>SUMPRODUCT((DA$3:DA$105=C12)*(DE$3:DE$105="W"))+SUMPRODUCT((DD$3:DD$105=C12)*(DF$3:DF$105="W"))</f>
        <v>0</v>
      </c>
      <c r="E12" s="231">
        <f>SUMPRODUCT((DA$3:DA$105=C12)*(DE$3:DE$105="D"))+SUMPRODUCT((DD$3:DD$105=C12)*(DF$3:DF$105="D"))</f>
        <v>0</v>
      </c>
      <c r="F12" s="231">
        <f>SUMPRODUCT((DA$3:DA$105=C12)*(DE$3:DE$105="L"))+SUMPRODUCT((DD$3:DD$105=C12)*(DF$3:DF$105="L"))</f>
        <v>0</v>
      </c>
      <c r="G12" s="231">
        <f>SUMIF(DA3:DA123,C12,DB3:DB123)+SUMIF(DD3:DD123,C12,DC3:DC123)</f>
        <v>0</v>
      </c>
      <c r="H12" s="231">
        <f>SUMIF(DD3:DD123,C12,DB3:DB123)+SUMIF(DA3:DA123,C12,DC3:DC123)</f>
        <v>0</v>
      </c>
      <c r="I12" s="231">
        <f t="shared" si="17"/>
        <v>1000</v>
      </c>
      <c r="J12" s="231">
        <f t="shared" si="18"/>
        <v>0</v>
      </c>
      <c r="K12" s="231">
        <f>IF(Setup!G13&lt;&gt;"",Setup!G13,-A12)</f>
        <v>-171</v>
      </c>
      <c r="L12" s="231">
        <f>IF(COUNTIF(J11:J15,4)&lt;&gt;4,RANK(J12,J11:J15),J91)</f>
        <v>1</v>
      </c>
      <c r="N12" s="231">
        <f>SUMPRODUCT((L11:L14=L12)*(K11:K14&lt;K12))+L12</f>
        <v>1</v>
      </c>
      <c r="O12" s="232" t="str">
        <f>INDEX(C11:C15,MATCH(2,N11:N15,0),0)</f>
        <v>Qatar</v>
      </c>
      <c r="P12" s="231">
        <f>INDEX(L11:L15,MATCH(O12,C11:C15,0),0)</f>
        <v>1</v>
      </c>
      <c r="Q12" s="231" t="str">
        <f>IF(Q11&lt;&gt;"",O12,"")</f>
        <v>Qatar</v>
      </c>
      <c r="R12" s="231" t="str">
        <f>IF(R11&lt;&gt;"",O13,"")</f>
        <v/>
      </c>
      <c r="S12" s="231" t="str">
        <f>IF(S11&lt;&gt;"",O14,"")</f>
        <v/>
      </c>
      <c r="T12" s="231" t="str">
        <f>IF(T11&lt;&gt;"",O15,"")</f>
        <v/>
      </c>
      <c r="V12" s="231" t="str">
        <f t="shared" ref="V12:V14" si="22">IF(Q12&lt;&gt;"",Q12,"")</f>
        <v>Qatar</v>
      </c>
      <c r="W12" s="231">
        <f>SUMPRODUCT((DA$3:DA$105=V12)*(DD$3:DD$105=V13)*(DE$3:DE$105="W"))+SUMPRODUCT((DA$3:DA$105=V12)*(DD$3:DD$105=V14)*(DE$3:DE$105="W"))+SUMPRODUCT((DA$3:DA$105=V12)*(DD$3:DD$105=V15)*(DE$3:DE$105="W"))+SUMPRODUCT((DA$3:DA$105=V12)*(DD$3:DD$105=V11)*(DE$3:DE$105="W"))+SUMPRODUCT((DA$3:DA$105=V13)*(DD$3:DD$105=V12)*(DF$3:DF$105="W"))+SUMPRODUCT((DA$3:DA$105=V14)*(DD$3:DD$105=V12)*(DF$3:DF$105="W"))+SUMPRODUCT((DA$3:DA$105=V15)*(DD$3:DD$105=V12)*(DF$3:DF$105="W"))+SUMPRODUCT((DA$3:DA$105=V11)*(DD$3:DD$105=V12)*(DF$3:DF$105="W"))</f>
        <v>0</v>
      </c>
      <c r="X12" s="231">
        <f>SUMPRODUCT((DA$3:DA$105=V12)*(DD$3:DD$105=V13)*(DE$3:DE$105="D"))+SUMPRODUCT((DA$3:DA$105=V12)*(DD$3:DD$105=V14)*(DE$3:DE$105="D"))+SUMPRODUCT((DA$3:DA$105=V12)*(DD$3:DD$105=V15)*(DE$3:DE$105="D"))+SUMPRODUCT((DA$3:DA$105=V12)*(DD$3:DD$105=V11)*(DE$3:DE$105="D"))+SUMPRODUCT((DA$3:DA$105=V13)*(DD$3:DD$105=V12)*(DE$3:DE$105="D"))+SUMPRODUCT((DA$3:DA$105=V14)*(DD$3:DD$105=V12)*(DE$3:DE$105="D"))+SUMPRODUCT((DA$3:DA$105=V15)*(DD$3:DD$105=V12)*(DE$3:DE$105="D"))+SUMPRODUCT((DA$3:DA$105=V11)*(DD$3:DD$105=V12)*(DE$3:DE$105="D"))</f>
        <v>0</v>
      </c>
      <c r="Y12" s="231">
        <f>SUMPRODUCT((DA$3:DA$105=V12)*(DD$3:DD$105=V13)*(DE$3:DE$105="L"))+SUMPRODUCT((DA$3:DA$105=V12)*(DD$3:DD$105=V14)*(DE$3:DE$105="L"))+SUMPRODUCT((DA$3:DA$105=V12)*(DD$3:DD$105=V15)*(DE$3:DE$105="L"))+SUMPRODUCT((DA$3:DA$105=V12)*(DD$3:DD$105=V11)*(DE$3:DE$105="L"))+SUMPRODUCT((DA$3:DA$105=V13)*(DD$3:DD$105=V12)*(DF$3:DF$105="L"))+SUMPRODUCT((DA$3:DA$105=V14)*(DD$3:DD$105=V12)*(DF$3:DF$105="L"))+SUMPRODUCT((DA$3:DA$105=V15)*(DD$3:DD$105=V12)*(DF$3:DF$105="L"))+SUMPRODUCT((DA$3:DA$105=V11)*(DD$3:DD$105=V12)*(DF$3:DF$105="L"))</f>
        <v>0</v>
      </c>
      <c r="Z12" s="231">
        <f>SUMPRODUCT((DA$3:DA$105=V12)*(DD$3:DD$105=V13)*DB$3:DB$105)+SUMPRODUCT((DA$3:DA$105=V12)*(DD$3:DD$105=V14)*DB$3:DB$105)+SUMPRODUCT((DA$3:DA$105=V12)*(DD$3:DD$105=V15)*DB$3:DB$105)+SUMPRODUCT((DA$3:DA$105=V12)*(DD$3:DD$105=V11)*DB$3:DB$105)+SUMPRODUCT((DA$3:DA$105=V13)*(DD$3:DD$105=V12)*DC$3:DC$105)+SUMPRODUCT((DA$3:DA$105=V14)*(DD$3:DD$105=V12)*DC$3:DC$105)+SUMPRODUCT((DA$3:DA$105=V15)*(DD$3:DD$105=V12)*DC$3:DC$105)+SUMPRODUCT((DA$3:DA$105=V11)*(DD$3:DD$105=V12)*DC$3:DC$105)</f>
        <v>0</v>
      </c>
      <c r="AA12" s="231">
        <f>SUMPRODUCT((DA$3:DA$105=V12)*(DD$3:DD$105=V13)*DC$3:DC$105)+SUMPRODUCT((DA$3:DA$105=V12)*(DD$3:DD$105=V14)*DC$3:DC$105)+SUMPRODUCT((DA$3:DA$105=V12)*(DD$3:DD$105=V15)*DC$3:DC$105)+SUMPRODUCT((DA$3:DA$105=V12)*(DD$3:DD$105=V11)*DC$3:DC$105)+SUMPRODUCT((DA$3:DA$105=V13)*(DD$3:DD$105=V12)*DB$3:DB$105)+SUMPRODUCT((DA$3:DA$105=V14)*(DD$3:DD$105=V12)*DB$3:DB$105)+SUMPRODUCT((DA$3:DA$105=V15)*(DD$3:DD$105=V12)*DB$3:DB$105)+SUMPRODUCT((DA$3:DA$105=V11)*(DD$3:DD$105=V12)*DB$3:DB$105)</f>
        <v>0</v>
      </c>
      <c r="AB12" s="231">
        <f>Z12-AA12+1000</f>
        <v>1000</v>
      </c>
      <c r="AC12" s="231">
        <f t="shared" si="19"/>
        <v>0</v>
      </c>
      <c r="AD12" s="231">
        <f>IF(V12&lt;&gt;"",VLOOKUP(V12,C$4:I$52,7,FALSE),"")</f>
        <v>1000</v>
      </c>
      <c r="AE12" s="231">
        <f>IF(V12&lt;&gt;"",VLOOKUP(V12,C$4:I$52,5,FALSE),"")</f>
        <v>0</v>
      </c>
      <c r="AF12" s="231">
        <f>IF(V12&lt;&gt;"",VLOOKUP(V12,C$4:K$52,9,FALSE),"")</f>
        <v>-156</v>
      </c>
      <c r="AG12" s="231">
        <f t="shared" si="20"/>
        <v>0</v>
      </c>
      <c r="AH12" s="231">
        <f>IF(V12&lt;&gt;"",RANK(AG12,AG11:AG15),"")</f>
        <v>1</v>
      </c>
      <c r="AI12" s="231">
        <f>IF(V12&lt;&gt;"",SUMPRODUCT((AG11:AG15=AG12)*(AB11:AB15&gt;AB12)),"")</f>
        <v>0</v>
      </c>
      <c r="AJ12" s="231">
        <f>IF(V12&lt;&gt;"",SUMPRODUCT((AG11:AG15=AG12)*(AB11:AB15=AB12)*(Z11:Z15&gt;Z12)),"")</f>
        <v>0</v>
      </c>
      <c r="AK12" s="231">
        <f>IF(V12&lt;&gt;"",SUMPRODUCT((AG11:AG15=AG12)*(AB11:AB15=AB12)*(Z11:Z15=Z12)*(AD11:AD15&gt;AD12)),"")</f>
        <v>0</v>
      </c>
      <c r="AL12" s="231">
        <f>IF(V12&lt;&gt;"",SUMPRODUCT((AG11:AG15=AG12)*(AB11:AB15=AB12)*(Z11:Z15=Z12)*(AD11:AD15=AD12)*(AE11:AE15&gt;AE12)),"")</f>
        <v>0</v>
      </c>
      <c r="AM12" s="231">
        <f>IF(V12&lt;&gt;"",SUMPRODUCT((AG11:AG15=AG12)*(AB11:AB15=AB12)*(Z11:Z15=Z12)*(AD11:AD15=AD12)*(AE11:AE15=AE12)*(AF11:AF15&gt;AF12)),"")</f>
        <v>2</v>
      </c>
      <c r="AN12" s="231">
        <f>IF(V12&lt;&gt;"",IF(AN91&lt;&gt;"",IF(U89=3,AN91,AN91+U89),SUM(AH12:AM12)),"")</f>
        <v>3</v>
      </c>
      <c r="AO12" s="231" t="str">
        <f>IF(V12&lt;&gt;"",INDEX(V11:V15,MATCH(2,AN11:AN15,0),0),"")</f>
        <v>Canada</v>
      </c>
      <c r="AP12" s="231" t="str">
        <f>IF(R11&lt;&gt;"",R11,"")</f>
        <v/>
      </c>
      <c r="AQ12" s="231">
        <f>SUMPRODUCT((DA$3:DA$105=AP12)*(DD$3:DD$105=AP13)*(DE$3:DE$105="W"))+SUMPRODUCT((DA$3:DA$105=AP12)*(DD$3:DD$105=AP14)*(DE$3:DE$105="W"))+SUMPRODUCT((DA$3:DA$105=AP12)*(DD$3:DD$105=AP15)*(DE$3:DE$105="W"))+SUMPRODUCT((DA$3:DA$105=AP13)*(DD$3:DD$105=AP12)*(DF$3:DF$105="W"))+SUMPRODUCT((DA$3:DA$105=AP14)*(DD$3:DD$105=AP12)*(DF$3:DF$105="W"))+SUMPRODUCT((DA$3:DA$105=AP15)*(DD$3:DD$105=AP12)*(DF$3:DF$105="W"))</f>
        <v>0</v>
      </c>
      <c r="AR12" s="231">
        <f>SUMPRODUCT((DA$3:DA$105=AP12)*(DD$3:DD$105=AP13)*(DE$3:DE$105="D"))+SUMPRODUCT((DA$3:DA$105=AP12)*(DD$3:DD$105=AP14)*(DE$3:DE$105="D"))+SUMPRODUCT((DA$3:DA$105=AP12)*(DD$3:DD$105=AP15)*(DE$3:DE$105="D"))+SUMPRODUCT((DA$3:DA$105=AP13)*(DD$3:DD$105=AP12)*(DE$3:DE$105="D"))+SUMPRODUCT((DA$3:DA$105=AP14)*(DD$3:DD$105=AP12)*(DE$3:DE$105="D"))+SUMPRODUCT((DA$3:DA$105=AP15)*(DD$3:DD$105=AP12)*(DE$3:DE$105="D"))</f>
        <v>0</v>
      </c>
      <c r="AS12" s="231">
        <f>SUMPRODUCT((DA$3:DA$105=AP12)*(DD$3:DD$105=AP13)*(DE$3:DE$105="L"))+SUMPRODUCT((DA$3:DA$105=AP12)*(DD$3:DD$105=AP14)*(DE$3:DE$105="L"))+SUMPRODUCT((DA$3:DA$105=AP12)*(DD$3:DD$105=AP15)*(DE$3:DE$105="L"))+SUMPRODUCT((DA$3:DA$105=AP13)*(DD$3:DD$105=AP12)*(DF$3:DF$105="L"))+SUMPRODUCT((DA$3:DA$105=AP14)*(DD$3:DD$105=AP12)*(DF$3:DF$105="L"))+SUMPRODUCT((DA$3:DA$105=AP15)*(DD$3:DD$105=AP12)*(DF$3:DF$105="L"))</f>
        <v>0</v>
      </c>
      <c r="AT12" s="231">
        <f>SUMPRODUCT((DA$3:DA$105=AP12)*(DD$3:DD$105=AP13)*DB$3:DB$105)+SUMPRODUCT((DA$3:DA$105=AP12)*(DD$3:DD$105=AP14)*DB$3:DB$105)+SUMPRODUCT((DA$3:DA$105=AP12)*(DD$3:DD$105=AP15)*DB$3:DB$105)+SUMPRODUCT((DA$3:DA$105=AP12)*(DD$3:DD$105=AP11)*DB$3:DB$105)+SUMPRODUCT((DA$3:DA$105=AP13)*(DD$3:DD$105=AP12)*DC$3:DC$105)+SUMPRODUCT((DA$3:DA$105=AP14)*(DD$3:DD$105=AP12)*DC$3:DC$105)+SUMPRODUCT((DA$3:DA$105=AP15)*(DD$3:DD$105=AP12)*DC$3:DC$105)+SUMPRODUCT((DA$3:DA$105=AP11)*(DD$3:DD$105=AP12)*DC$3:DC$105)</f>
        <v>0</v>
      </c>
      <c r="AU12" s="231">
        <f>SUMPRODUCT((DA$3:DA$105=AP12)*(DD$3:DD$105=AP13)*DC$3:DC$105)+SUMPRODUCT((DA$3:DA$105=AP12)*(DD$3:DD$105=AP14)*DC$3:DC$105)+SUMPRODUCT((DA$3:DA$105=AP12)*(DD$3:DD$105=AP15)*DC$3:DC$105)+SUMPRODUCT((DA$3:DA$105=AP12)*(DD$3:DD$105=AP11)*DC$3:DC$105)+SUMPRODUCT((DA$3:DA$105=AP13)*(DD$3:DD$105=AP12)*DB$3:DB$105)+SUMPRODUCT((DA$3:DA$105=AP14)*(DD$3:DD$105=AP12)*DB$3:DB$105)+SUMPRODUCT((DA$3:DA$105=AP15)*(DD$3:DD$105=AP12)*DB$3:DB$105)+SUMPRODUCT((DA$3:DA$105=AP11)*(DD$3:DD$105=AP12)*DB$3:DB$105)</f>
        <v>0</v>
      </c>
      <c r="AV12" s="231">
        <f>AT12-AU12+1000</f>
        <v>1000</v>
      </c>
      <c r="AW12" s="231" t="str">
        <f t="shared" ref="AW12:AW14" si="23">IF(AP12&lt;&gt;"",AQ12*3+AR12*1,"")</f>
        <v/>
      </c>
      <c r="AX12" s="231" t="str">
        <f>IF(AP12&lt;&gt;"",VLOOKUP(AP12,C$4:I$52,7,FALSE),"")</f>
        <v/>
      </c>
      <c r="AY12" s="231" t="str">
        <f>IF(AP12&lt;&gt;"",VLOOKUP(AP12,C$4:I$52,5,FALSE),"")</f>
        <v/>
      </c>
      <c r="AZ12" s="231" t="str">
        <f>IF(AP12&lt;&gt;"",VLOOKUP(AP12,C$4:K$52,9,FALSE),"")</f>
        <v/>
      </c>
      <c r="BA12" s="231" t="str">
        <f t="shared" ref="BA12:BA14" si="24">AW12</f>
        <v/>
      </c>
      <c r="BB12" s="231" t="str">
        <f>IF(AP12&lt;&gt;"",RANK(BA12,BA11:BA15),"")</f>
        <v/>
      </c>
      <c r="BC12" s="231" t="str">
        <f>IF(AP12&lt;&gt;"",SUMPRODUCT((BA11:BA15=BA12)*(AV11:AV15&gt;AV12)),"")</f>
        <v/>
      </c>
      <c r="BD12" s="231" t="str">
        <f>IF(AP12&lt;&gt;"",SUMPRODUCT((BA11:BA15=BA12)*(AV11:AV15=AV12)*(AT11:AT15&gt;AT12)),"")</f>
        <v/>
      </c>
      <c r="BE12" s="231" t="str">
        <f>IF(AP12&lt;&gt;"",SUMPRODUCT((BA11:BA15=BA12)*(AV11:AV15=AV12)*(AT11:AT15=AT12)*(AX11:AX15&gt;AX12)),"")</f>
        <v/>
      </c>
      <c r="BF12" s="231" t="str">
        <f>IF(AP12&lt;&gt;"",SUMPRODUCT((BA11:BA15=BA12)*(AV11:AV15=AV12)*(AT11:AT15=AT12)*(AX11:AX15=AX12)*(AY11:AY15&gt;AY12)),"")</f>
        <v/>
      </c>
      <c r="BG12" s="231" t="str">
        <f>IF(AP12&lt;&gt;"",SUMPRODUCT((BA11:BA15=BA12)*(AV11:AV15=AV12)*(AT11:AT15=AT12)*(AX11:AX15=AX12)*(AY11:AY15=AY12)*(AZ11:AZ15&gt;AZ12)),"")</f>
        <v/>
      </c>
      <c r="BH12" s="231" t="str">
        <f>IF(AP12&lt;&gt;"",IF(BH91&lt;&gt;"",IF(AO89=3,BH91,BH91+AO89),SUM(BB12:BG12)+1),"")</f>
        <v/>
      </c>
      <c r="BI12" s="231" t="str">
        <f>IF(AP12&lt;&gt;"",INDEX(AP12:AP15,MATCH(2,BH12:BH15,0),0),"")</f>
        <v/>
      </c>
      <c r="CX12" s="231" t="str">
        <f>IF(BI12&lt;&gt;"",BI12,IF(AO12&lt;&gt;"",AO12,O12))</f>
        <v>Canada</v>
      </c>
      <c r="CY12" s="231">
        <v>2</v>
      </c>
      <c r="CZ12" s="231">
        <v>10</v>
      </c>
      <c r="DA12" s="234" t="str">
        <f>Matches!H13</f>
        <v>Germany</v>
      </c>
      <c r="DB12" s="234">
        <f>IF($DA$2&lt;&gt;"",IF(AND(Matches!J13&lt;&gt;"",Matches!K13&lt;&gt;""),Matches!J13,0),"")</f>
        <v>0</v>
      </c>
      <c r="DC12" s="234">
        <f>IF($DA$2&lt;&gt;"",IF(AND(Matches!J13&lt;&gt;"",Matches!K13&lt;&gt;""),Matches!K13,0),"")</f>
        <v>0</v>
      </c>
      <c r="DD12" s="234" t="str">
        <f>Matches!M13</f>
        <v>Curacao</v>
      </c>
      <c r="DE12" s="234" t="str">
        <f>IF(AND(Matches!J13&lt;&gt;"",Matches!K13&lt;&gt;""),IF(DB12&gt;DC12,"W",IF(DB12=DC12,"D","L")),"")</f>
        <v/>
      </c>
      <c r="DF12" s="231" t="str">
        <f t="shared" si="0"/>
        <v/>
      </c>
      <c r="DI12" s="242"/>
      <c r="DQ12" s="238"/>
      <c r="DR12" s="239"/>
      <c r="DS12" s="240" t="str">
        <f t="shared" si="16"/>
        <v>Bosnia and Herzegovina</v>
      </c>
      <c r="DT12" s="241" t="s">
        <v>639</v>
      </c>
      <c r="DU12" s="240"/>
      <c r="DV12" s="233">
        <v>6</v>
      </c>
      <c r="DW12" s="242">
        <v>-9.5</v>
      </c>
      <c r="DX12" s="230"/>
      <c r="DY12" s="243">
        <v>6</v>
      </c>
      <c r="DZ12" s="244">
        <f t="shared" si="14"/>
        <v>46187</v>
      </c>
      <c r="EA12" s="245">
        <v>46187</v>
      </c>
      <c r="EB12" s="246">
        <f t="shared" si="15"/>
        <v>46187</v>
      </c>
      <c r="EC12" s="245"/>
      <c r="EE12" s="233" t="str">
        <f>INDEX(Language!$A$1:$K$177,MATCH(Setup!B13,Language!$B$1:$B$177,0),MATCH(Setup!$C$5,Language!$A$1:$J$1,0))</f>
        <v>Bosnia and Herzegovina</v>
      </c>
    </row>
    <row r="13" spans="1:135" ht="13.5" customHeight="1" x14ac:dyDescent="0.25">
      <c r="A13" s="230">
        <f>Setup!F14+100</f>
        <v>156</v>
      </c>
      <c r="B13" s="231">
        <f>VLOOKUP(C13,CX$11:CY$15,2,FALSE)</f>
        <v>3</v>
      </c>
      <c r="C13" s="232" t="str">
        <f t="shared" si="21"/>
        <v>Qatar</v>
      </c>
      <c r="D13" s="231">
        <f>SUMPRODUCT((DA$3:DA$105=C13)*(DE$3:DE$105="W"))+SUMPRODUCT((DD$3:DD$105=C13)*(DF$3:DF$105="W"))</f>
        <v>0</v>
      </c>
      <c r="E13" s="231">
        <f>SUMPRODUCT((DA$3:DA$105=C13)*(DE$3:DE$105="D"))+SUMPRODUCT((DD$3:DD$105=C13)*(DF$3:DF$105="D"))</f>
        <v>0</v>
      </c>
      <c r="F13" s="231">
        <f>SUMPRODUCT((DA$3:DA$105=C13)*(DE$3:DE$105="L"))+SUMPRODUCT((DD$3:DD$105=C13)*(DF$3:DF$105="L"))</f>
        <v>0</v>
      </c>
      <c r="G13" s="231">
        <f>SUMIF(DA3:DA123,C13,DB3:DB123)+SUMIF(DD3:DD123,C13,DC3:DC123)</f>
        <v>0</v>
      </c>
      <c r="H13" s="231">
        <f>SUMIF(DD3:DD123,C13,DB3:DB123)+SUMIF(DA3:DA123,C13,DC3:DC123)</f>
        <v>0</v>
      </c>
      <c r="I13" s="231">
        <f t="shared" si="17"/>
        <v>1000</v>
      </c>
      <c r="J13" s="231">
        <f t="shared" si="18"/>
        <v>0</v>
      </c>
      <c r="K13" s="231">
        <f>IF(Setup!G14&lt;&gt;"",Setup!G14,-A13)</f>
        <v>-156</v>
      </c>
      <c r="L13" s="231">
        <f>IF(COUNTIF(J11:J15,4)&lt;&gt;4,RANK(J13,J11:J15),J92)</f>
        <v>1</v>
      </c>
      <c r="N13" s="231">
        <f>SUMPRODUCT((L11:L14=L13)*(K11:K14&lt;K13))+L13</f>
        <v>2</v>
      </c>
      <c r="O13" s="232" t="str">
        <f>INDEX(C11:C15,MATCH(3,N11:N15,0),0)</f>
        <v>Canada</v>
      </c>
      <c r="P13" s="231">
        <f>INDEX(L11:L15,MATCH(O13,C11:C15,0),0)</f>
        <v>1</v>
      </c>
      <c r="Q13" s="231" t="str">
        <f>IF(AND(Q12&lt;&gt;"",P13=1),O13,"")</f>
        <v>Canada</v>
      </c>
      <c r="R13" s="231" t="str">
        <f>IF(AND(R12&lt;&gt;"",P14=2),O14,"")</f>
        <v/>
      </c>
      <c r="S13" s="231" t="str">
        <f>IF(AND(S12&lt;&gt;"",P15=3),O15,"")</f>
        <v/>
      </c>
      <c r="V13" s="231" t="str">
        <f t="shared" si="22"/>
        <v>Canada</v>
      </c>
      <c r="W13" s="231">
        <f>SUMPRODUCT((DA$3:DA$105=V13)*(DD$3:DD$105=V14)*(DE$3:DE$105="W"))+SUMPRODUCT((DA$3:DA$105=V13)*(DD$3:DD$105=V15)*(DE$3:DE$105="W"))+SUMPRODUCT((DA$3:DA$105=V13)*(DD$3:DD$105=V11)*(DE$3:DE$105="W"))+SUMPRODUCT((DA$3:DA$105=V13)*(DD$3:DD$105=V12)*(DE$3:DE$105="W"))+SUMPRODUCT((DA$3:DA$105=V14)*(DD$3:DD$105=V13)*(DF$3:DF$105="W"))+SUMPRODUCT((DA$3:DA$105=V15)*(DD$3:DD$105=V13)*(DF$3:DF$105="W"))+SUMPRODUCT((DA$3:DA$105=V11)*(DD$3:DD$105=V13)*(DF$3:DF$105="W"))+SUMPRODUCT((DA$3:DA$105=V12)*(DD$3:DD$105=V13)*(DF$3:DF$105="W"))</f>
        <v>0</v>
      </c>
      <c r="X13" s="231">
        <f>SUMPRODUCT((DA$3:DA$105=V13)*(DD$3:DD$105=V14)*(DE$3:DE$105="D"))+SUMPRODUCT((DA$3:DA$105=V13)*(DD$3:DD$105=V15)*(DE$3:DE$105="D"))+SUMPRODUCT((DA$3:DA$105=V13)*(DD$3:DD$105=V11)*(DE$3:DE$105="D"))+SUMPRODUCT((DA$3:DA$105=V13)*(DD$3:DD$105=V12)*(DE$3:DE$105="D"))+SUMPRODUCT((DA$3:DA$105=V14)*(DD$3:DD$105=V13)*(DE$3:DE$105="D"))+SUMPRODUCT((DA$3:DA$105=V15)*(DD$3:DD$105=V13)*(DE$3:DE$105="D"))+SUMPRODUCT((DA$3:DA$105=V11)*(DD$3:DD$105=V13)*(DE$3:DE$105="D"))+SUMPRODUCT((DA$3:DA$105=V12)*(DD$3:DD$105=V13)*(DE$3:DE$105="D"))</f>
        <v>0</v>
      </c>
      <c r="Y13" s="231">
        <f>SUMPRODUCT((DA$3:DA$105=V13)*(DD$3:DD$105=V14)*(DE$3:DE$105="L"))+SUMPRODUCT((DA$3:DA$105=V13)*(DD$3:DD$105=V15)*(DE$3:DE$105="L"))+SUMPRODUCT((DA$3:DA$105=V13)*(DD$3:DD$105=V11)*(DE$3:DE$105="L"))+SUMPRODUCT((DA$3:DA$105=V13)*(DD$3:DD$105=V12)*(DE$3:DE$105="L"))+SUMPRODUCT((DA$3:DA$105=V14)*(DD$3:DD$105=V13)*(DF$3:DF$105="L"))+SUMPRODUCT((DA$3:DA$105=V15)*(DD$3:DD$105=V13)*(DF$3:DF$105="L"))+SUMPRODUCT((DA$3:DA$105=V11)*(DD$3:DD$105=V13)*(DF$3:DF$105="L"))+SUMPRODUCT((DA$3:DA$105=V12)*(DD$3:DD$105=V13)*(DF$3:DF$105="L"))</f>
        <v>0</v>
      </c>
      <c r="Z13" s="231">
        <f>SUMPRODUCT((DA$3:DA$105=V13)*(DD$3:DD$105=V14)*DB$3:DB$105)+SUMPRODUCT((DA$3:DA$105=V13)*(DD$3:DD$105=V15)*DB$3:DB$105)+SUMPRODUCT((DA$3:DA$105=V13)*(DD$3:DD$105=V11)*DB$3:DB$105)+SUMPRODUCT((DA$3:DA$105=V13)*(DD$3:DD$105=V12)*DB$3:DB$105)+SUMPRODUCT((DA$3:DA$105=V14)*(DD$3:DD$105=V13)*DC$3:DC$105)+SUMPRODUCT((DA$3:DA$105=V15)*(DD$3:DD$105=V13)*DC$3:DC$105)+SUMPRODUCT((DA$3:DA$105=V11)*(DD$3:DD$105=V13)*DC$3:DC$105)+SUMPRODUCT((DA$3:DA$105=V12)*(DD$3:DD$105=V13)*DC$3:DC$105)</f>
        <v>0</v>
      </c>
      <c r="AA13" s="231">
        <f>SUMPRODUCT((DA$3:DA$105=V13)*(DD$3:DD$105=V14)*DC$3:DC$105)+SUMPRODUCT((DA$3:DA$105=V13)*(DD$3:DD$105=V15)*DC$3:DC$105)+SUMPRODUCT((DA$3:DA$105=V13)*(DD$3:DD$105=V11)*DC$3:DC$105)+SUMPRODUCT((DA$3:DA$105=V13)*(DD$3:DD$105=V12)*DC$3:DC$105)+SUMPRODUCT((DA$3:DA$105=V14)*(DD$3:DD$105=V13)*DB$3:DB$105)+SUMPRODUCT((DA$3:DA$105=V15)*(DD$3:DD$105=V13)*DB$3:DB$105)+SUMPRODUCT((DA$3:DA$105=V11)*(DD$3:DD$105=V13)*DB$3:DB$105)+SUMPRODUCT((DA$3:DA$105=V12)*(DD$3:DD$105=V13)*DB$3:DB$105)</f>
        <v>0</v>
      </c>
      <c r="AB13" s="231">
        <f>Z13-AA13+1000</f>
        <v>1000</v>
      </c>
      <c r="AC13" s="231">
        <f t="shared" si="19"/>
        <v>0</v>
      </c>
      <c r="AD13" s="231">
        <f>IF(V13&lt;&gt;"",VLOOKUP(V13,C$4:I$52,7,FALSE),"")</f>
        <v>1000</v>
      </c>
      <c r="AE13" s="231">
        <f>IF(V13&lt;&gt;"",VLOOKUP(V13,C$4:I$52,5,FALSE),"")</f>
        <v>0</v>
      </c>
      <c r="AF13" s="231">
        <f>IF(V13&lt;&gt;"",VLOOKUP(V13,C$4:K$52,9,FALSE),"")</f>
        <v>-129</v>
      </c>
      <c r="AG13" s="231">
        <f t="shared" si="20"/>
        <v>0</v>
      </c>
      <c r="AH13" s="231">
        <f>IF(V13&lt;&gt;"",RANK(AG13,AG11:AG15),"")</f>
        <v>1</v>
      </c>
      <c r="AI13" s="231">
        <f>IF(V13&lt;&gt;"",SUMPRODUCT((AG11:AG15=AG13)*(AB11:AB15&gt;AB13)),"")</f>
        <v>0</v>
      </c>
      <c r="AJ13" s="231">
        <f>IF(V13&lt;&gt;"",SUMPRODUCT((AG11:AG15=AG13)*(AB11:AB15=AB13)*(Z11:Z15&gt;Z13)),"")</f>
        <v>0</v>
      </c>
      <c r="AK13" s="231">
        <f>IF(V13&lt;&gt;"",SUMPRODUCT((AG11:AG15=AG13)*(AB11:AB15=AB13)*(Z11:Z15=Z13)*(AD11:AD15&gt;AD13)),"")</f>
        <v>0</v>
      </c>
      <c r="AL13" s="231">
        <f>IF(V13&lt;&gt;"",SUMPRODUCT((AG11:AG15=AG13)*(AB11:AB15=AB13)*(Z11:Z15=Z13)*(AD11:AD15=AD13)*(AE11:AE15&gt;AE13)),"")</f>
        <v>0</v>
      </c>
      <c r="AM13" s="231">
        <f>IF(V13&lt;&gt;"",SUMPRODUCT((AG11:AG15=AG13)*(AB11:AB15=AB13)*(Z11:Z15=Z13)*(AD11:AD15=AD13)*(AE11:AE15=AE13)*(AF11:AF15&gt;AF13)),"")</f>
        <v>1</v>
      </c>
      <c r="AN13" s="231">
        <f>IF(V13&lt;&gt;"",IF(AN92&lt;&gt;"",IF(U89=3,AN92,AN92+U89),SUM(AH13:AM13)),"")</f>
        <v>2</v>
      </c>
      <c r="AO13" s="231" t="str">
        <f>IF(V13&lt;&gt;"",INDEX(V11:V15,MATCH(3,AN11:AN15,0),0),"")</f>
        <v>Qatar</v>
      </c>
      <c r="AP13" s="231" t="str">
        <f>IF(R12&lt;&gt;"",R12,"")</f>
        <v/>
      </c>
      <c r="AQ13" s="231">
        <f>SUMPRODUCT((DA$3:DA$105=AP13)*(DD$3:DD$105=AP14)*(DE$3:DE$105="W"))+SUMPRODUCT((DA$3:DA$105=AP13)*(DD$3:DD$105=AP15)*(DE$3:DE$105="W"))+SUMPRODUCT((DA$3:DA$105=AP13)*(DD$3:DD$105=AP12)*(DE$3:DE$105="W"))+SUMPRODUCT((DA$3:DA$105=AP14)*(DD$3:DD$105=AP13)*(DF$3:DF$105="W"))+SUMPRODUCT((DA$3:DA$105=AP15)*(DD$3:DD$105=AP13)*(DF$3:DF$105="W"))+SUMPRODUCT((DA$3:DA$105=AP12)*(DD$3:DD$105=AP13)*(DF$3:DF$105="W"))</f>
        <v>0</v>
      </c>
      <c r="AR13" s="231">
        <f>SUMPRODUCT((DA$3:DA$105=AP13)*(DD$3:DD$105=AP14)*(DE$3:DE$105="D"))+SUMPRODUCT((DA$3:DA$105=AP13)*(DD$3:DD$105=AP15)*(DE$3:DE$105="D"))+SUMPRODUCT((DA$3:DA$105=AP13)*(DD$3:DD$105=AP12)*(DE$3:DE$105="D"))+SUMPRODUCT((DA$3:DA$105=AP14)*(DD$3:DD$105=AP13)*(DE$3:DE$105="D"))+SUMPRODUCT((DA$3:DA$105=AP15)*(DD$3:DD$105=AP13)*(DE$3:DE$105="D"))+SUMPRODUCT((DA$3:DA$105=AP12)*(DD$3:DD$105=AP13)*(DE$3:DE$105="D"))</f>
        <v>0</v>
      </c>
      <c r="AS13" s="231">
        <f>SUMPRODUCT((DA$3:DA$105=AP13)*(DD$3:DD$105=AP14)*(DE$3:DE$105="L"))+SUMPRODUCT((DA$3:DA$105=AP13)*(DD$3:DD$105=AP15)*(DE$3:DE$105="L"))+SUMPRODUCT((DA$3:DA$105=AP13)*(DD$3:DD$105=AP12)*(DE$3:DE$105="L"))+SUMPRODUCT((DA$3:DA$105=AP14)*(DD$3:DD$105=AP13)*(DF$3:DF$105="L"))+SUMPRODUCT((DA$3:DA$105=AP15)*(DD$3:DD$105=AP13)*(DF$3:DF$105="L"))+SUMPRODUCT((DA$3:DA$105=AP12)*(DD$3:DD$105=AP13)*(DF$3:DF$105="L"))</f>
        <v>0</v>
      </c>
      <c r="AT13" s="231">
        <f>SUMPRODUCT((DA$3:DA$105=AP13)*(DD$3:DD$105=AP14)*DB$3:DB$105)+SUMPRODUCT((DA$3:DA$105=AP13)*(DD$3:DD$105=AP15)*DB$3:DB$105)+SUMPRODUCT((DA$3:DA$105=AP13)*(DD$3:DD$105=AP11)*DB$3:DB$105)+SUMPRODUCT((DA$3:DA$105=AP13)*(DD$3:DD$105=AP12)*DB$3:DB$105)+SUMPRODUCT((DA$3:DA$105=AP14)*(DD$3:DD$105=AP13)*DC$3:DC$105)+SUMPRODUCT((DA$3:DA$105=AP15)*(DD$3:DD$105=AP13)*DC$3:DC$105)+SUMPRODUCT((DA$3:DA$105=AP11)*(DD$3:DD$105=AP13)*DC$3:DC$105)+SUMPRODUCT((DA$3:DA$105=AP12)*(DD$3:DD$105=AP13)*DC$3:DC$105)</f>
        <v>0</v>
      </c>
      <c r="AU13" s="231">
        <f>SUMPRODUCT((DA$3:DA$105=AP13)*(DD$3:DD$105=AP14)*DC$3:DC$105)+SUMPRODUCT((DA$3:DA$105=AP13)*(DD$3:DD$105=AP15)*DC$3:DC$105)+SUMPRODUCT((DA$3:DA$105=AP13)*(DD$3:DD$105=AP11)*DC$3:DC$105)+SUMPRODUCT((DA$3:DA$105=AP13)*(DD$3:DD$105=AP12)*DC$3:DC$105)+SUMPRODUCT((DA$3:DA$105=AP14)*(DD$3:DD$105=AP13)*DB$3:DB$105)+SUMPRODUCT((DA$3:DA$105=AP15)*(DD$3:DD$105=AP13)*DB$3:DB$105)+SUMPRODUCT((DA$3:DA$105=AP11)*(DD$3:DD$105=AP13)*DB$3:DB$105)+SUMPRODUCT((DA$3:DA$105=AP12)*(DD$3:DD$105=AP13)*DB$3:DB$105)</f>
        <v>0</v>
      </c>
      <c r="AV13" s="231">
        <f>AT13-AU13+1000</f>
        <v>1000</v>
      </c>
      <c r="AW13" s="231" t="str">
        <f t="shared" si="23"/>
        <v/>
      </c>
      <c r="AX13" s="231" t="str">
        <f>IF(AP13&lt;&gt;"",VLOOKUP(AP13,C$4:I$52,7,FALSE),"")</f>
        <v/>
      </c>
      <c r="AY13" s="231" t="str">
        <f>IF(AP13&lt;&gt;"",VLOOKUP(AP13,C$4:I$52,5,FALSE),"")</f>
        <v/>
      </c>
      <c r="AZ13" s="231" t="str">
        <f>IF(AP13&lt;&gt;"",VLOOKUP(AP13,C$4:K$52,9,FALSE),"")</f>
        <v/>
      </c>
      <c r="BA13" s="231" t="str">
        <f t="shared" si="24"/>
        <v/>
      </c>
      <c r="BB13" s="231" t="str">
        <f>IF(AP13&lt;&gt;"",RANK(BA13,BA11:BA15),"")</f>
        <v/>
      </c>
      <c r="BC13" s="231" t="str">
        <f>IF(AP13&lt;&gt;"",SUMPRODUCT((BA11:BA15=BA13)*(AV11:AV15&gt;AV13)),"")</f>
        <v/>
      </c>
      <c r="BD13" s="231" t="str">
        <f>IF(AP13&lt;&gt;"",SUMPRODUCT((BA11:BA15=BA13)*(AV11:AV15=AV13)*(AT11:AT15&gt;AT13)),"")</f>
        <v/>
      </c>
      <c r="BE13" s="231" t="str">
        <f>IF(AP13&lt;&gt;"",SUMPRODUCT((BA11:BA15=BA13)*(AV11:AV15=AV13)*(AT11:AT15=AT13)*(AX11:AX15&gt;AX13)),"")</f>
        <v/>
      </c>
      <c r="BF13" s="231" t="str">
        <f>IF(AP13&lt;&gt;"",SUMPRODUCT((BA11:BA15=BA13)*(AV11:AV15=AV13)*(AT11:AT15=AT13)*(AX11:AX15=AX13)*(AY11:AY15&gt;AY13)),"")</f>
        <v/>
      </c>
      <c r="BG13" s="231" t="str">
        <f>IF(AP13&lt;&gt;"",SUMPRODUCT((BA11:BA15=BA13)*(AV11:AV15=AV13)*(AT11:AT15=AT13)*(AX11:AX15=AX13)*(AY11:AY15=AY13)*(AZ11:AZ15&gt;AZ13)),"")</f>
        <v/>
      </c>
      <c r="BH13" s="231" t="str">
        <f>IF(AP13&lt;&gt;"",IF(BH92&lt;&gt;"",IF(AO89=3,BH92,BH92+AO89),SUM(BB13:BG13)+1),"")</f>
        <v/>
      </c>
      <c r="BI13" s="231" t="str">
        <f>IF(AP13&lt;&gt;"",INDEX(AP12:AP15,MATCH(3,BH12:BH15,0),0),"")</f>
        <v/>
      </c>
      <c r="BJ13" s="231" t="str">
        <f>IF(S11&lt;&gt;"",S11,"")</f>
        <v/>
      </c>
      <c r="BK13" s="231">
        <f>SUMPRODUCT((DA$3:DA$105=BJ13)*(DD$3:DD$105=BJ14)*(DE$3:DE$105="W"))+SUMPRODUCT((DA$3:DA$105=BJ13)*(DD$3:DD$105=BJ15)*(DE$3:DE$105="W"))+SUMPRODUCT((DA$3:DA$105=BJ13)*(DD$3:DD$105=BJ16)*(DE$3:DE$105="W"))+SUMPRODUCT((DA$3:DA$105=BJ14)*(DD$3:DD$105=BJ13)*(DF$3:DF$105="W"))+SUMPRODUCT((DA$3:DA$105=BJ15)*(DD$3:DD$105=BJ13)*(DF$3:DF$105="W"))+SUMPRODUCT((DA$3:DA$105=BJ16)*(DD$3:DD$105=BJ13)*(DF$3:DF$105="W"))</f>
        <v>0</v>
      </c>
      <c r="BL13" s="231">
        <f>SUMPRODUCT((DA$3:DA$105=BJ13)*(DD$3:DD$105=BJ14)*(DE$3:DE$105="D"))+SUMPRODUCT((DA$3:DA$105=BJ13)*(DD$3:DD$105=BJ15)*(DE$3:DE$105="D"))+SUMPRODUCT((DA$3:DA$105=BJ13)*(DD$3:DD$105=BJ16)*(DE$3:DE$105="D"))+SUMPRODUCT((DA$3:DA$105=BJ14)*(DD$3:DD$105=BJ13)*(DE$3:DE$105="D"))+SUMPRODUCT((DA$3:DA$105=BJ15)*(DD$3:DD$105=BJ13)*(DE$3:DE$105="D"))+SUMPRODUCT((DA$3:DA$105=BJ16)*(DD$3:DD$105=BJ13)*(DE$3:DE$105="D"))</f>
        <v>0</v>
      </c>
      <c r="BM13" s="231">
        <f>SUMPRODUCT((DA$3:DA$105=BJ13)*(DD$3:DD$105=BJ14)*(DE$3:DE$105="L"))+SUMPRODUCT((DA$3:DA$105=BJ13)*(DD$3:DD$105=BJ15)*(DE$3:DE$105="L"))+SUMPRODUCT((DA$3:DA$105=BJ13)*(DD$3:DD$105=BJ16)*(DE$3:DE$105="L"))+SUMPRODUCT((DA$3:DA$105=BJ14)*(DD$3:DD$105=BJ13)*(DF$3:DF$105="L"))+SUMPRODUCT((DA$3:DA$105=BJ15)*(DD$3:DD$105=BJ13)*(DF$3:DF$105="L"))+SUMPRODUCT((DA$3:DA$105=BJ16)*(DD$3:DD$105=BJ13)*(DF$3:DF$105="L"))</f>
        <v>0</v>
      </c>
      <c r="BN13" s="231">
        <f>SUMPRODUCT((DA$3:DA$105=BJ13)*(DD$3:DD$105=BJ14)*DB$3:DB$105)+SUMPRODUCT((DA$3:DA$105=BJ13)*(DD$3:DD$105=BJ15)*DB$3:DB$105)+SUMPRODUCT((DA$3:DA$105=BJ13)*(DD$3:DD$105=BJ11)*DB$3:DB$105)+SUMPRODUCT((DA$3:DA$105=BJ13)*(DD$3:DD$105=BJ12)*DB$3:DB$105)+SUMPRODUCT((DA$3:DA$105=BJ14)*(DD$3:DD$105=BJ13)*DC$3:DC$105)+SUMPRODUCT((DA$3:DA$105=BJ15)*(DD$3:DD$105=BJ13)*DC$3:DC$105)+SUMPRODUCT((DA$3:DA$105=BJ11)*(DD$3:DD$105=BJ13)*DC$3:DC$105)+SUMPRODUCT((DA$3:DA$105=BJ12)*(DD$3:DD$105=BJ13)*DC$3:DC$105)</f>
        <v>0</v>
      </c>
      <c r="BO13" s="231">
        <f>SUMPRODUCT((DA$3:DA$105=BJ13)*(DD$3:DD$105=BJ14)*DC$3:DC$105)+SUMPRODUCT((DA$3:DA$105=BJ13)*(DD$3:DD$105=BJ15)*DC$3:DC$105)+SUMPRODUCT((DA$3:DA$105=BJ13)*(DD$3:DD$105=BJ11)*DC$3:DC$105)+SUMPRODUCT((DA$3:DA$105=BJ13)*(DD$3:DD$105=BJ12)*DC$3:DC$105)+SUMPRODUCT((DA$3:DA$105=BJ14)*(DD$3:DD$105=BJ13)*DB$3:DB$105)+SUMPRODUCT((DA$3:DA$105=BJ15)*(DD$3:DD$105=BJ13)*DB$3:DB$105)+SUMPRODUCT((DA$3:DA$105=BJ11)*(DD$3:DD$105=BJ13)*DB$3:DB$105)+SUMPRODUCT((DA$3:DA$105=BJ12)*(DD$3:DD$105=BJ13)*DB$3:DB$105)</f>
        <v>0</v>
      </c>
      <c r="BP13" s="231">
        <f>BN13-BO13+1000</f>
        <v>1000</v>
      </c>
      <c r="BQ13" s="231" t="str">
        <f t="shared" ref="BQ13:BQ14" si="25">IF(BJ13&lt;&gt;"",BK13*3+BL13*1,"")</f>
        <v/>
      </c>
      <c r="BR13" s="231" t="str">
        <f>IF(BJ13&lt;&gt;"",VLOOKUP(BJ13,C$4:I$52,7,FALSE),"")</f>
        <v/>
      </c>
      <c r="BS13" s="231" t="str">
        <f>IF(BJ13&lt;&gt;"",VLOOKUP(BJ13,C$4:I$52,5,FALSE),"")</f>
        <v/>
      </c>
      <c r="BT13" s="231" t="str">
        <f>IF(BJ13&lt;&gt;"",VLOOKUP(BJ13,C$4:K$52,9,FALSE),"")</f>
        <v/>
      </c>
      <c r="BU13" s="231" t="str">
        <f t="shared" ref="BU13:BU14" si="26">BQ13</f>
        <v/>
      </c>
      <c r="BV13" s="231" t="str">
        <f>IF(BJ13&lt;&gt;"",RANK(BU13,BU11:BU15),"")</f>
        <v/>
      </c>
      <c r="BW13" s="231" t="str">
        <f>IF(BJ13&lt;&gt;"",SUMPRODUCT((BU11:BU15=BU13)*(BP11:BP15&gt;BP13)),"")</f>
        <v/>
      </c>
      <c r="BX13" s="231" t="str">
        <f>IF(BJ13&lt;&gt;"",SUMPRODUCT((BU11:BU15=BU13)*(BP11:BP15=BP13)*(BN11:BN15&gt;BN13)),"")</f>
        <v/>
      </c>
      <c r="BY13" s="231" t="str">
        <f>IF(BJ13&lt;&gt;"",SUMPRODUCT((BU11:BU15=BU13)*(BP11:BP15=BP13)*(BN11:BN15=BN13)*(BR11:BR15&gt;BR13)),"")</f>
        <v/>
      </c>
      <c r="BZ13" s="231" t="str">
        <f>IF(BJ13&lt;&gt;"",SUMPRODUCT((BU11:BU15=BU13)*(BP11:BP15=BP13)*(BN11:BN15=BN13)*(BR11:BR15=BR13)*(BS11:BS15&gt;BS13)),"")</f>
        <v/>
      </c>
      <c r="CA13" s="231" t="str">
        <f>IF(BJ13&lt;&gt;"",SUMPRODUCT((BU11:BU15=BU13)*(BP11:BP15=BP13)*(BN11:BN15=BN13)*(BR11:BR15=BR13)*(BS11:BS15=BS13)*(BT11:BT15&gt;BT13)),"")</f>
        <v/>
      </c>
      <c r="CB13" s="231" t="str">
        <f>IF(BJ13&lt;&gt;"",SUM(BV13:CA13)+2,"")</f>
        <v/>
      </c>
      <c r="CC13" s="231" t="str">
        <f>IF(BJ13&lt;&gt;"",INDEX(BJ13:BJ15,MATCH(3,CB13:CB15,0),0),"")</f>
        <v/>
      </c>
      <c r="CX13" s="231" t="str">
        <f>IF(CC13&lt;&gt;"",CC13,IF(BI13&lt;&gt;"",BI13,IF(AO13&lt;&gt;"",AO13,O13)))</f>
        <v>Qatar</v>
      </c>
      <c r="CY13" s="231">
        <v>3</v>
      </c>
      <c r="CZ13" s="231">
        <v>11</v>
      </c>
      <c r="DA13" s="234" t="str">
        <f>Matches!H14</f>
        <v>Netherlands</v>
      </c>
      <c r="DB13" s="234">
        <f>IF($DA$2&lt;&gt;"",IF(AND(Matches!J14&lt;&gt;"",Matches!K14&lt;&gt;""),Matches!J14,0),"")</f>
        <v>0</v>
      </c>
      <c r="DC13" s="234">
        <f>IF($DA$2&lt;&gt;"",IF(AND(Matches!J14&lt;&gt;"",Matches!K14&lt;&gt;""),Matches!K14,0),"")</f>
        <v>0</v>
      </c>
      <c r="DD13" s="234" t="str">
        <f>Matches!M14</f>
        <v>Japan</v>
      </c>
      <c r="DE13" s="234" t="str">
        <f>IF(AND(Matches!J14&lt;&gt;"",Matches!K14&lt;&gt;""),IF(DB13&gt;DC13,"W",IF(DB13=DC13,"D","L")),"")</f>
        <v/>
      </c>
      <c r="DF13" s="231" t="str">
        <f t="shared" si="0"/>
        <v/>
      </c>
      <c r="DI13" s="242"/>
      <c r="DQ13" s="238"/>
      <c r="DR13" s="239"/>
      <c r="DS13" s="240" t="str">
        <f t="shared" si="16"/>
        <v>Qatar</v>
      </c>
      <c r="DT13" s="241" t="s">
        <v>640</v>
      </c>
      <c r="DU13" s="240"/>
      <c r="DV13" s="233">
        <v>7</v>
      </c>
      <c r="DW13" s="242">
        <v>-9</v>
      </c>
      <c r="DX13" s="230"/>
      <c r="DY13" s="243">
        <v>7</v>
      </c>
      <c r="DZ13" s="244">
        <f t="shared" si="14"/>
        <v>46186.75</v>
      </c>
      <c r="EA13" s="245">
        <v>46186.75</v>
      </c>
      <c r="EB13" s="246">
        <f t="shared" si="15"/>
        <v>46186.75</v>
      </c>
      <c r="EC13" s="245"/>
      <c r="ED13" s="233">
        <f>SUM(Matches!S11:S14)</f>
        <v>10</v>
      </c>
      <c r="EE13" s="233" t="str">
        <f>INDEX(Language!$A$1:$K$177,MATCH(Setup!B14,Language!$B$1:$B$177,0),MATCH(Setup!$C$5,Language!$A$1:$J$1,0))</f>
        <v>Qatar</v>
      </c>
    </row>
    <row r="14" spans="1:135" ht="13.5" customHeight="1" x14ac:dyDescent="0.25">
      <c r="A14" s="230">
        <f>Setup!F15+100</f>
        <v>118</v>
      </c>
      <c r="B14" s="231">
        <f>VLOOKUP(C14,CX$11:CY$15,2,FALSE)</f>
        <v>1</v>
      </c>
      <c r="C14" s="232" t="str">
        <f t="shared" si="21"/>
        <v>Switzerland</v>
      </c>
      <c r="D14" s="231">
        <f>SUMPRODUCT((DA$3:DA$105=C14)*(DE$3:DE$105="W"))+SUMPRODUCT((DD$3:DD$105=C14)*(DF$3:DF$105="W"))</f>
        <v>0</v>
      </c>
      <c r="E14" s="231">
        <f>SUMPRODUCT((DA$3:DA$105=C14)*(DE$3:DE$105="D"))+SUMPRODUCT((DD$3:DD$105=C14)*(DF$3:DF$105="D"))</f>
        <v>0</v>
      </c>
      <c r="F14" s="231">
        <f>SUMPRODUCT((DA$3:DA$105=C14)*(DE$3:DE$105="L"))+SUMPRODUCT((DD$3:DD$105=C14)*(DF$3:DF$105="L"))</f>
        <v>0</v>
      </c>
      <c r="G14" s="231">
        <f>SUMIF(DA3:DA123,C14,DB3:DB123)+SUMIF(DD3:DD123,C14,DC3:DC123)</f>
        <v>0</v>
      </c>
      <c r="H14" s="231">
        <f>SUMIF(DD3:DD123,C14,DB3:DB123)+SUMIF(DA3:DA123,C14,DC3:DC123)</f>
        <v>0</v>
      </c>
      <c r="I14" s="231">
        <f t="shared" si="17"/>
        <v>1000</v>
      </c>
      <c r="J14" s="231">
        <f t="shared" si="18"/>
        <v>0</v>
      </c>
      <c r="K14" s="231">
        <f>IF(Setup!G15&lt;&gt;"",Setup!G15,-A14)</f>
        <v>-118</v>
      </c>
      <c r="L14" s="231">
        <f>IF(COUNTIF(J11:J15,4)&lt;&gt;4,RANK(J14,J11:J15),J93)</f>
        <v>1</v>
      </c>
      <c r="N14" s="231">
        <f>SUMPRODUCT((L11:L14=L14)*(K11:K14&lt;K14))+L14</f>
        <v>4</v>
      </c>
      <c r="O14" s="232" t="str">
        <f>INDEX(C11:C15,MATCH(4,N11:N15,0),0)</f>
        <v>Switzerland</v>
      </c>
      <c r="P14" s="231">
        <f>INDEX(L11:L15,MATCH(O14,C11:C15,0),0)</f>
        <v>1</v>
      </c>
      <c r="Q14" s="231" t="str">
        <f>IF(AND(Q13&lt;&gt;"",P14=1),O14,"")</f>
        <v>Switzerland</v>
      </c>
      <c r="R14" s="231" t="str">
        <f>IF(AND(R13&lt;&gt;"",P15=2),O15,"")</f>
        <v/>
      </c>
      <c r="V14" s="231" t="str">
        <f t="shared" si="22"/>
        <v>Switzerland</v>
      </c>
      <c r="W14" s="231">
        <f>SUMPRODUCT((DA$3:DA$105=V14)*(DD$3:DD$105=V15)*(DE$3:DE$105="W"))+SUMPRODUCT((DA$3:DA$105=V14)*(DD$3:DD$105=V11)*(DE$3:DE$105="W"))+SUMPRODUCT((DA$3:DA$105=V14)*(DD$3:DD$105=V12)*(DE$3:DE$105="W"))+SUMPRODUCT((DA$3:DA$105=V14)*(DD$3:DD$105=V13)*(DE$3:DE$105="W"))+SUMPRODUCT((DA$3:DA$105=V15)*(DD$3:DD$105=V14)*(DF$3:DF$105="W"))+SUMPRODUCT((DA$3:DA$105=V11)*(DD$3:DD$105=V14)*(DF$3:DF$105="W"))+SUMPRODUCT((DA$3:DA$105=V12)*(DD$3:DD$105=V14)*(DF$3:DF$105="W"))+SUMPRODUCT((DA$3:DA$105=V13)*(DD$3:DD$105=V14)*(DF$3:DF$105="W"))</f>
        <v>0</v>
      </c>
      <c r="X14" s="231">
        <f>SUMPRODUCT((DA$3:DA$105=V14)*(DD$3:DD$105=V15)*(DE$3:DE$105="D"))+SUMPRODUCT((DA$3:DA$105=V14)*(DD$3:DD$105=V11)*(DE$3:DE$105="D"))+SUMPRODUCT((DA$3:DA$105=V14)*(DD$3:DD$105=V12)*(DE$3:DE$105="D"))+SUMPRODUCT((DA$3:DA$105=V14)*(DD$3:DD$105=V13)*(DE$3:DE$105="D"))+SUMPRODUCT((DA$3:DA$105=V15)*(DD$3:DD$105=V14)*(DE$3:DE$105="D"))+SUMPRODUCT((DA$3:DA$105=V11)*(DD$3:DD$105=V14)*(DE$3:DE$105="D"))+SUMPRODUCT((DA$3:DA$105=V12)*(DD$3:DD$105=V14)*(DE$3:DE$105="D"))+SUMPRODUCT((DA$3:DA$105=V13)*(DD$3:DD$105=V14)*(DE$3:DE$105="D"))</f>
        <v>0</v>
      </c>
      <c r="Y14" s="231">
        <f>SUMPRODUCT((DA$3:DA$105=V14)*(DD$3:DD$105=V15)*(DE$3:DE$105="L"))+SUMPRODUCT((DA$3:DA$105=V14)*(DD$3:DD$105=V11)*(DE$3:DE$105="L"))+SUMPRODUCT((DA$3:DA$105=V14)*(DD$3:DD$105=V12)*(DE$3:DE$105="L"))+SUMPRODUCT((DA$3:DA$105=V14)*(DD$3:DD$105=V13)*(DE$3:DE$105="L"))+SUMPRODUCT((DA$3:DA$105=V15)*(DD$3:DD$105=V14)*(DF$3:DF$105="L"))+SUMPRODUCT((DA$3:DA$105=V11)*(DD$3:DD$105=V14)*(DF$3:DF$105="L"))+SUMPRODUCT((DA$3:DA$105=V12)*(DD$3:DD$105=V14)*(DF$3:DF$105="L"))+SUMPRODUCT((DA$3:DA$105=V13)*(DD$3:DD$105=V14)*(DF$3:DF$105="L"))</f>
        <v>0</v>
      </c>
      <c r="Z14" s="231">
        <f>SUMPRODUCT((DA$3:DA$105=V14)*(DD$3:DD$105=V15)*DB$3:DB$105)+SUMPRODUCT((DA$3:DA$105=V14)*(DD$3:DD$105=V11)*DB$3:DB$105)+SUMPRODUCT((DA$3:DA$105=V14)*(DD$3:DD$105=V12)*DB$3:DB$105)+SUMPRODUCT((DA$3:DA$105=V14)*(DD$3:DD$105=V13)*DB$3:DB$105)+SUMPRODUCT((DA$3:DA$105=V15)*(DD$3:DD$105=V14)*DC$3:DC$105)+SUMPRODUCT((DA$3:DA$105=V11)*(DD$3:DD$105=V14)*DC$3:DC$105)+SUMPRODUCT((DA$3:DA$105=V12)*(DD$3:DD$105=V14)*DC$3:DC$105)+SUMPRODUCT((DA$3:DA$105=V13)*(DD$3:DD$105=V14)*DC$3:DC$105)</f>
        <v>0</v>
      </c>
      <c r="AA14" s="231">
        <f>SUMPRODUCT((DA$3:DA$105=V14)*(DD$3:DD$105=V15)*DC$3:DC$105)+SUMPRODUCT((DA$3:DA$105=V14)*(DD$3:DD$105=V11)*DC$3:DC$105)+SUMPRODUCT((DA$3:DA$105=V14)*(DD$3:DD$105=V12)*DC$3:DC$105)+SUMPRODUCT((DA$3:DA$105=V14)*(DD$3:DD$105=V13)*DC$3:DC$105)+SUMPRODUCT((DA$3:DA$105=V15)*(DD$3:DD$105=V14)*DB$3:DB$105)+SUMPRODUCT((DA$3:DA$105=V11)*(DD$3:DD$105=V14)*DB$3:DB$105)+SUMPRODUCT((DA$3:DA$105=V12)*(DD$3:DD$105=V14)*DB$3:DB$105)+SUMPRODUCT((DA$3:DA$105=V13)*(DD$3:DD$105=V14)*DB$3:DB$105)</f>
        <v>0</v>
      </c>
      <c r="AB14" s="231">
        <f>Z14-AA14+1000</f>
        <v>1000</v>
      </c>
      <c r="AC14" s="231">
        <f t="shared" si="19"/>
        <v>0</v>
      </c>
      <c r="AD14" s="231">
        <f>IF(V14&lt;&gt;"",VLOOKUP(V14,C$4:I$52,7,FALSE),"")</f>
        <v>1000</v>
      </c>
      <c r="AE14" s="231">
        <f>IF(V14&lt;&gt;"",VLOOKUP(V14,C$4:I$52,5,FALSE),"")</f>
        <v>0</v>
      </c>
      <c r="AF14" s="231">
        <f>IF(V14&lt;&gt;"",VLOOKUP(V14,C$4:K$52,9,FALSE),"")</f>
        <v>-118</v>
      </c>
      <c r="AG14" s="231">
        <f t="shared" si="20"/>
        <v>0</v>
      </c>
      <c r="AH14" s="231">
        <f>IF(V14&lt;&gt;"",RANK(AG14,AG11:AG15),"")</f>
        <v>1</v>
      </c>
      <c r="AI14" s="231">
        <f>IF(V14&lt;&gt;"",SUMPRODUCT((AG11:AG15=AG14)*(AB11:AB15&gt;AB14)),"")</f>
        <v>0</v>
      </c>
      <c r="AJ14" s="231">
        <f>IF(V14&lt;&gt;"",SUMPRODUCT((AG11:AG15=AG14)*(AB11:AB15=AB14)*(Z11:Z15&gt;Z14)),"")</f>
        <v>0</v>
      </c>
      <c r="AK14" s="231">
        <f>IF(V14&lt;&gt;"",SUMPRODUCT((AG11:AG15=AG14)*(AB11:AB15=AB14)*(Z11:Z15=Z14)*(AD11:AD15&gt;AD14)),"")</f>
        <v>0</v>
      </c>
      <c r="AL14" s="231">
        <f>IF(V14&lt;&gt;"",SUMPRODUCT((AG11:AG15=AG14)*(AB11:AB15=AB14)*(Z11:Z15=Z14)*(AD11:AD15=AD14)*(AE11:AE15&gt;AE14)),"")</f>
        <v>0</v>
      </c>
      <c r="AM14" s="231">
        <f>IF(V14&lt;&gt;"",SUMPRODUCT((AG11:AG15=AG14)*(AB11:AB15=AB14)*(Z11:Z15=Z14)*(AD11:AD15=AD14)*(AE11:AE15=AE14)*(AF11:AF15&gt;AF14)),"")</f>
        <v>0</v>
      </c>
      <c r="AN14" s="231">
        <f>IF(V14&lt;&gt;"",IF(AN93&lt;&gt;"",IF(U89=3,AN93,AN93+U89),SUM(AH14:AM14)),"")</f>
        <v>1</v>
      </c>
      <c r="AO14" s="231" t="str">
        <f>IF(V14&lt;&gt;"",INDEX(V11:V15,MATCH(4,AN11:AN15,0),0),"")</f>
        <v>Bosnia and Herzegovina</v>
      </c>
      <c r="AP14" s="231" t="str">
        <f>IF(R13&lt;&gt;"",R13,"")</f>
        <v/>
      </c>
      <c r="AQ14" s="231" t="str">
        <f>IF(AP14&lt;&gt;"",SUMPRODUCT((DA$3:DA$105=AP14)*(DD$3:DD$105=AP15)*(DE$3:DE$105="W"))+SUMPRODUCT((DA$3:DA$105=AP14)*(DD$3:DD$105=AP12)*(DE$3:DE$105="W"))+SUMPRODUCT((DA$3:DA$105=AP14)*(DD$3:DD$105=AP13)*(DE$3:DE$105="W"))+SUMPRODUCT((DA$3:DA$105=AP15)*(DD$3:DD$105=AP14)*(DF$3:DF$105="W"))+SUMPRODUCT((DA$3:DA$105=AP12)*(DD$3:DD$105=AP14)*(DF$3:DF$105="W"))+SUMPRODUCT((DA$3:DA$105=AP13)*(DD$3:DD$105=AP14)*(DF$3:DF$105="W")),"")</f>
        <v/>
      </c>
      <c r="AR14" s="231" t="str">
        <f>IF(AP14&lt;&gt;"",SUMPRODUCT((DA$3:DA$105=AP14)*(DD$3:DD$105=AP15)*(DE$3:DE$105="D"))+SUMPRODUCT((DA$3:DA$105=AP14)*(DD$3:DD$105=AP12)*(DE$3:DE$105="D"))+SUMPRODUCT((DA$3:DA$105=AP14)*(DD$3:DD$105=AP13)*(DE$3:DE$105="D"))+SUMPRODUCT((DA$3:DA$105=AP15)*(DD$3:DD$105=AP14)*(DE$3:DE$105="D"))+SUMPRODUCT((DA$3:DA$105=AP12)*(DD$3:DD$105=AP14)*(DE$3:DE$105="D"))+SUMPRODUCT((DA$3:DA$105=AP13)*(DD$3:DD$105=AP14)*(DE$3:DE$105="D")),"")</f>
        <v/>
      </c>
      <c r="AS14" s="231" t="str">
        <f>IF(AP14&lt;&gt;"",SUMPRODUCT((DA$3:DA$105=AP14)*(DD$3:DD$105=AP15)*(DE$3:DE$105="L"))+SUMPRODUCT((DA$3:DA$105=AP14)*(DD$3:DD$105=AP12)*(DE$3:DE$105="L"))+SUMPRODUCT((DA$3:DA$105=AP14)*(DD$3:DD$105=AP13)*(DE$3:DE$105="L"))+SUMPRODUCT((DA$3:DA$105=AP15)*(DD$3:DD$105=AP14)*(DF$3:DF$105="L"))+SUMPRODUCT((DA$3:DA$105=AP12)*(DD$3:DD$105=AP14)*(DF$3:DF$105="L"))+SUMPRODUCT((DA$3:DA$105=AP13)*(DD$3:DD$105=AP14)*(DF$3:DF$105="L")),"")</f>
        <v/>
      </c>
      <c r="AT14" s="231">
        <f>SUMPRODUCT((DA$3:DA$105=AP14)*(DD$3:DD$105=AP15)*DB$3:DB$105)+SUMPRODUCT((DA$3:DA$105=AP14)*(DD$3:DD$105=AP11)*DB$3:DB$105)+SUMPRODUCT((DA$3:DA$105=AP14)*(DD$3:DD$105=AP12)*DB$3:DB$105)+SUMPRODUCT((DA$3:DA$105=AP14)*(DD$3:DD$105=AP13)*DB$3:DB$105)+SUMPRODUCT((DA$3:DA$105=AP15)*(DD$3:DD$105=AP14)*DC$3:DC$105)+SUMPRODUCT((DA$3:DA$105=AP11)*(DD$3:DD$105=AP14)*DC$3:DC$105)+SUMPRODUCT((DA$3:DA$105=AP12)*(DD$3:DD$105=AP14)*DC$3:DC$105)+SUMPRODUCT((DA$3:DA$105=AP13)*(DD$3:DD$105=AP14)*DC$3:DC$105)</f>
        <v>0</v>
      </c>
      <c r="AU14" s="231">
        <f>SUMPRODUCT((DA$3:DA$105=AP14)*(DD$3:DD$105=AP15)*DC$3:DC$105)+SUMPRODUCT((DA$3:DA$105=AP14)*(DD$3:DD$105=AP11)*DC$3:DC$105)+SUMPRODUCT((DA$3:DA$105=AP14)*(DD$3:DD$105=AP12)*DC$3:DC$105)+SUMPRODUCT((DA$3:DA$105=AP14)*(DD$3:DD$105=AP13)*DC$3:DC$105)+SUMPRODUCT((DA$3:DA$105=AP15)*(DD$3:DD$105=AP14)*DB$3:DB$105)+SUMPRODUCT((DA$3:DA$105=AP11)*(DD$3:DD$105=AP14)*DB$3:DB$105)+SUMPRODUCT((DA$3:DA$105=AP12)*(DD$3:DD$105=AP14)*DB$3:DB$105)+SUMPRODUCT((DA$3:DA$105=AP13)*(DD$3:DD$105=AP14)*DB$3:DB$105)</f>
        <v>0</v>
      </c>
      <c r="AV14" s="231">
        <f>AT14-AU14+1000</f>
        <v>1000</v>
      </c>
      <c r="AW14" s="231" t="str">
        <f t="shared" si="23"/>
        <v/>
      </c>
      <c r="AX14" s="231" t="str">
        <f>IF(AP14&lt;&gt;"",VLOOKUP(AP14,C$4:I$52,7,FALSE),"")</f>
        <v/>
      </c>
      <c r="AY14" s="231" t="str">
        <f>IF(AP14&lt;&gt;"",VLOOKUP(AP14,C$4:I$52,5,FALSE),"")</f>
        <v/>
      </c>
      <c r="AZ14" s="231" t="str">
        <f>IF(AP14&lt;&gt;"",VLOOKUP(AP14,C$4:K$52,9,FALSE),"")</f>
        <v/>
      </c>
      <c r="BA14" s="231" t="str">
        <f t="shared" si="24"/>
        <v/>
      </c>
      <c r="BB14" s="231" t="str">
        <f>IF(AP14&lt;&gt;"",RANK(BA14,BA11:BA15),"")</f>
        <v/>
      </c>
      <c r="BC14" s="231" t="str">
        <f>IF(AP14&lt;&gt;"",SUMPRODUCT((BA11:BA15=BA14)*(AV11:AV15&gt;AV14)),"")</f>
        <v/>
      </c>
      <c r="BD14" s="231" t="str">
        <f>IF(AP14&lt;&gt;"",SUMPRODUCT((BA11:BA15=BA14)*(AV11:AV15=AV14)*(AT11:AT15&gt;AT14)),"")</f>
        <v/>
      </c>
      <c r="BE14" s="231" t="str">
        <f>IF(AP14&lt;&gt;"",SUMPRODUCT((BA11:BA15=BA14)*(AV11:AV15=AV14)*(AT11:AT15=AT14)*(AX11:AX15&gt;AX14)),"")</f>
        <v/>
      </c>
      <c r="BF14" s="231" t="str">
        <f>IF(AP14&lt;&gt;"",SUMPRODUCT((BA11:BA15=BA14)*(AV11:AV15=AV14)*(AT11:AT15=AT14)*(AX11:AX15=AX14)*(AY11:AY15&gt;AY14)),"")</f>
        <v/>
      </c>
      <c r="BG14" s="231" t="str">
        <f>IF(AP14&lt;&gt;"",SUMPRODUCT((BA11:BA15=BA14)*(AV11:AV15=AV14)*(AT11:AT15=AT14)*(AX11:AX15=AX14)*(AY11:AY15=AY14)*(AZ11:AZ15&gt;AZ14)),"")</f>
        <v/>
      </c>
      <c r="BH14" s="231" t="str">
        <f>IF(AP14&lt;&gt;"",IF(BH93&lt;&gt;"",IF(AO89=3,BH93,BH93+AO89),SUM(BB14:BG14)+1),"")</f>
        <v/>
      </c>
      <c r="BI14" s="231" t="str">
        <f>IF(AP14&lt;&gt;"",INDEX(AP12:AP15,MATCH(4,BH12:BH15,0),0),"")</f>
        <v/>
      </c>
      <c r="BJ14" s="231" t="str">
        <f>IF(S12&lt;&gt;"",S12,"")</f>
        <v/>
      </c>
      <c r="BK14" s="231">
        <f>SUMPRODUCT((DA$3:DA$105=BJ14)*(DD$3:DD$105=BJ15)*(DE$3:DE$105="W"))+SUMPRODUCT((DA$3:DA$105=BJ14)*(DD$3:DD$105=BJ16)*(DE$3:DE$105="W"))+SUMPRODUCT((DA$3:DA$105=BJ14)*(DD$3:DD$105=BJ13)*(DE$3:DE$105="W"))+SUMPRODUCT((DA$3:DA$105=BJ15)*(DD$3:DD$105=BJ14)*(DF$3:DF$105="W"))+SUMPRODUCT((DA$3:DA$105=BJ16)*(DD$3:DD$105=BJ14)*(DF$3:DF$105="W"))+SUMPRODUCT((DA$3:DA$105=BJ13)*(DD$3:DD$105=BJ14)*(DF$3:DF$105="W"))</f>
        <v>0</v>
      </c>
      <c r="BL14" s="231">
        <f>SUMPRODUCT((DA$3:DA$105=BJ14)*(DD$3:DD$105=BJ15)*(DE$3:DE$105="D"))+SUMPRODUCT((DA$3:DA$105=BJ14)*(DD$3:DD$105=BJ16)*(DE$3:DE$105="D"))+SUMPRODUCT((DA$3:DA$105=BJ14)*(DD$3:DD$105=BJ13)*(DE$3:DE$105="D"))+SUMPRODUCT((DA$3:DA$105=BJ15)*(DD$3:DD$105=BJ14)*(DE$3:DE$105="D"))+SUMPRODUCT((DA$3:DA$105=BJ16)*(DD$3:DD$105=BJ14)*(DE$3:DE$105="D"))+SUMPRODUCT((DA$3:DA$105=BJ13)*(DD$3:DD$105=BJ14)*(DE$3:DE$105="D"))</f>
        <v>0</v>
      </c>
      <c r="BM14" s="231">
        <f>SUMPRODUCT((DA$3:DA$105=BJ14)*(DD$3:DD$105=BJ15)*(DE$3:DE$105="L"))+SUMPRODUCT((DA$3:DA$105=BJ14)*(DD$3:DD$105=BJ16)*(DE$3:DE$105="L"))+SUMPRODUCT((DA$3:DA$105=BJ14)*(DD$3:DD$105=BJ13)*(DE$3:DE$105="L"))+SUMPRODUCT((DA$3:DA$105=BJ15)*(DD$3:DD$105=BJ14)*(DF$3:DF$105="L"))+SUMPRODUCT((DA$3:DA$105=BJ16)*(DD$3:DD$105=BJ14)*(DF$3:DF$105="L"))+SUMPRODUCT((DA$3:DA$105=BJ13)*(DD$3:DD$105=BJ14)*(DF$3:DF$105="L"))</f>
        <v>0</v>
      </c>
      <c r="BN14" s="231">
        <f>SUMPRODUCT((DA$3:DA$105=BJ14)*(DD$3:DD$105=BJ15)*DB$3:DB$105)+SUMPRODUCT((DA$3:DA$105=BJ14)*(DD$3:DD$105=BJ11)*DB$3:DB$105)+SUMPRODUCT((DA$3:DA$105=BJ14)*(DD$3:DD$105=BJ12)*DB$3:DB$105)+SUMPRODUCT((DA$3:DA$105=BJ14)*(DD$3:DD$105=BJ13)*DB$3:DB$105)+SUMPRODUCT((DA$3:DA$105=BJ15)*(DD$3:DD$105=BJ14)*DC$3:DC$105)+SUMPRODUCT((DA$3:DA$105=BJ11)*(DD$3:DD$105=BJ14)*DC$3:DC$105)+SUMPRODUCT((DA$3:DA$105=BJ12)*(DD$3:DD$105=BJ14)*DC$3:DC$105)+SUMPRODUCT((DA$3:DA$105=BJ13)*(DD$3:DD$105=BJ14)*DC$3:DC$105)</f>
        <v>0</v>
      </c>
      <c r="BO14" s="231">
        <f>SUMPRODUCT((DA$3:DA$105=BJ14)*(DD$3:DD$105=BJ15)*DC$3:DC$105)+SUMPRODUCT((DA$3:DA$105=BJ14)*(DD$3:DD$105=BJ11)*DC$3:DC$105)+SUMPRODUCT((DA$3:DA$105=BJ14)*(DD$3:DD$105=BJ12)*DC$3:DC$105)+SUMPRODUCT((DA$3:DA$105=BJ14)*(DD$3:DD$105=BJ13)*DC$3:DC$105)+SUMPRODUCT((DA$3:DA$105=BJ15)*(DD$3:DD$105=BJ14)*DB$3:DB$105)+SUMPRODUCT((DA$3:DA$105=BJ11)*(DD$3:DD$105=BJ14)*DB$3:DB$105)+SUMPRODUCT((DA$3:DA$105=BJ12)*(DD$3:DD$105=BJ14)*DB$3:DB$105)+SUMPRODUCT((DA$3:DA$105=BJ13)*(DD$3:DD$105=BJ14)*DB$3:DB$105)</f>
        <v>0</v>
      </c>
      <c r="BP14" s="231">
        <f>BN14-BO14+1000</f>
        <v>1000</v>
      </c>
      <c r="BQ14" s="231" t="str">
        <f t="shared" si="25"/>
        <v/>
      </c>
      <c r="BR14" s="231" t="str">
        <f>IF(BJ14&lt;&gt;"",VLOOKUP(BJ14,C$4:I$52,7,FALSE),"")</f>
        <v/>
      </c>
      <c r="BS14" s="231" t="str">
        <f>IF(BJ14&lt;&gt;"",VLOOKUP(BJ14,C$4:I$52,5,FALSE),"")</f>
        <v/>
      </c>
      <c r="BT14" s="231" t="str">
        <f>IF(BJ14&lt;&gt;"",VLOOKUP(BJ14,C$4:K$52,9,FALSE),"")</f>
        <v/>
      </c>
      <c r="BU14" s="231" t="str">
        <f t="shared" si="26"/>
        <v/>
      </c>
      <c r="BV14" s="231" t="str">
        <f>IF(BJ14&lt;&gt;"",RANK(BU14,BU11:BU15),"")</f>
        <v/>
      </c>
      <c r="BW14" s="231" t="str">
        <f>IF(BJ14&lt;&gt;"",SUMPRODUCT((BU11:BU15=BU14)*(BP11:BP15&gt;BP14)),"")</f>
        <v/>
      </c>
      <c r="BX14" s="231" t="str">
        <f>IF(BJ14&lt;&gt;"",SUMPRODUCT((BU11:BU15=BU14)*(BP11:BP15=BP14)*(BN11:BN15&gt;BN14)),"")</f>
        <v/>
      </c>
      <c r="BY14" s="231" t="str">
        <f>IF(BJ14&lt;&gt;"",SUMPRODUCT((BU11:BU15=BU14)*(BP11:BP15=BP14)*(BN11:BN15=BN14)*(BR11:BR15&gt;BR14)),"")</f>
        <v/>
      </c>
      <c r="BZ14" s="231" t="str">
        <f>IF(BJ14&lt;&gt;"",SUMPRODUCT((BU11:BU15=BU14)*(BP11:BP15=BP14)*(BN11:BN15=BN14)*(BR11:BR15=BR14)*(BS11:BS15&gt;BS14)),"")</f>
        <v/>
      </c>
      <c r="CA14" s="231" t="str">
        <f>IF(BJ14&lt;&gt;"",SUMPRODUCT((BU11:BU15=BU14)*(BP11:BP15=BP14)*(BN11:BN15=BN14)*(BR11:BR15=BR14)*(BS11:BS15=BS14)*(BT11:BT15&gt;BT14)),"")</f>
        <v/>
      </c>
      <c r="CB14" s="231" t="str">
        <f>IF(BJ14&lt;&gt;"",SUM(BV14:CA14)+2,"")</f>
        <v/>
      </c>
      <c r="CC14" s="231" t="str">
        <f>IF(BJ14&lt;&gt;"",INDEX(BJ13:BJ15,MATCH(4,CB13:CB15,0),0),"")</f>
        <v/>
      </c>
      <c r="CD14" s="231" t="str">
        <f>IF(T11&lt;&gt;"",T11,"")</f>
        <v/>
      </c>
      <c r="CE14" s="231">
        <f>SUMPRODUCT((DA$3:DA$105=CD14)*(DD$3:DD$105=CD15)*(DE$3:DE$105="W"))+SUMPRODUCT((DA$3:DA$105=CD14)*(DD$3:DD$105=CD16)*(DE$3:DE$105="W"))+SUMPRODUCT((DA$3:DA$105=CD14)*(DD$3:DD$105=CD17)*(DE$3:DE$105="W"))+SUMPRODUCT((DA$3:DA$105=CD15)*(DD$3:DD$105=CD14)*(DF$3:DF$105="W"))+SUMPRODUCT((DA$3:DA$105=CD16)*(DD$3:DD$105=CD14)*(DF$3:DF$105="W"))+SUMPRODUCT((DA$3:DA$105=CD17)*(DD$3:DD$105=CD14)*(DF$3:DF$105="W"))</f>
        <v>0</v>
      </c>
      <c r="CF14" s="231">
        <f>SUMPRODUCT((DA$3:DA$105=CD14)*(DD$3:DD$105=CD15)*(DE$3:DE$105="D"))+SUMPRODUCT((DA$3:DA$105=CD14)*(DD$3:DD$105=CD16)*(DE$3:DE$105="D"))+SUMPRODUCT((DA$3:DA$105=CD14)*(DD$3:DD$105=CD17)*(DE$3:DE$105="D"))+SUMPRODUCT((DA$3:DA$105=CD15)*(DD$3:DD$105=CD14)*(DE$3:DE$105="D"))+SUMPRODUCT((DA$3:DA$105=CD16)*(DD$3:DD$105=CD14)*(DE$3:DE$105="D"))+SUMPRODUCT((DA$3:DA$105=CD17)*(DD$3:DD$105=CD14)*(DE$3:DE$105="D"))</f>
        <v>0</v>
      </c>
      <c r="CG14" s="231">
        <f>SUMPRODUCT((DA$3:DA$105=CD14)*(DD$3:DD$105=CD15)*(DE$3:DE$105="L"))+SUMPRODUCT((DA$3:DA$105=CD14)*(DD$3:DD$105=CD16)*(DE$3:DE$105="L"))+SUMPRODUCT((DA$3:DA$105=CD14)*(DD$3:DD$105=CD17)*(DE$3:DE$105="L"))+SUMPRODUCT((DA$3:DA$105=CD15)*(DD$3:DD$105=CD14)*(DF$3:DF$105="L"))+SUMPRODUCT((DA$3:DA$105=CD16)*(DD$3:DD$105=CD14)*(DF$3:DF$105="L"))+SUMPRODUCT((DA$3:DA$105=CD17)*(DD$3:DD$105=CD14)*(DF$3:DF$105="L"))</f>
        <v>0</v>
      </c>
      <c r="CH14" s="231">
        <f>SUMPRODUCT((DA$3:DA$105=CD14)*(DD$3:DD$105=CD15)*DB$3:DB$105)+SUMPRODUCT((DA$3:DA$105=CD14)*(DD$3:DD$105=CD11)*DB$3:DB$105)+SUMPRODUCT((DA$3:DA$105=CD14)*(DD$3:DD$105=CD12)*DB$3:DB$105)+SUMPRODUCT((DA$3:DA$105=CD14)*(DD$3:DD$105=CD13)*DB$3:DB$105)+SUMPRODUCT((DA$3:DA$105=CD15)*(DD$3:DD$105=CD14)*DC$3:DC$105)+SUMPRODUCT((DA$3:DA$105=CD11)*(DD$3:DD$105=CD14)*DC$3:DC$105)+SUMPRODUCT((DA$3:DA$105=CD12)*(DD$3:DD$105=CD14)*DC$3:DC$105)+SUMPRODUCT((DA$3:DA$105=CD13)*(DD$3:DD$105=CD14)*DC$3:DC$105)</f>
        <v>0</v>
      </c>
      <c r="CI14" s="231">
        <f>SUMPRODUCT((DA$3:DA$105=CD14)*(DD$3:DD$105=CD15)*DC$3:DC$105)+SUMPRODUCT((DA$3:DA$105=CD14)*(DD$3:DD$105=CD11)*DC$3:DC$105)+SUMPRODUCT((DA$3:DA$105=CD14)*(DD$3:DD$105=CD12)*DC$3:DC$105)+SUMPRODUCT((DA$3:DA$105=CD14)*(DD$3:DD$105=CD13)*DC$3:DC$105)+SUMPRODUCT((DA$3:DA$105=CD15)*(DD$3:DD$105=CD14)*DB$3:DB$105)+SUMPRODUCT((DA$3:DA$105=CD11)*(DD$3:DD$105=CD14)*DB$3:DB$105)+SUMPRODUCT((DA$3:DA$105=CD12)*(DD$3:DD$105=CD14)*DB$3:DB$105)+SUMPRODUCT((DA$3:DA$105=CD13)*(DD$3:DD$105=CD14)*DB$3:DB$105)</f>
        <v>0</v>
      </c>
      <c r="CJ14" s="231">
        <f>CH14-CI14+1000</f>
        <v>1000</v>
      </c>
      <c r="CK14" s="231" t="str">
        <f t="shared" ref="CK14" si="27">IF(CD14&lt;&gt;"",CE14*3+CF14*1,"")</f>
        <v/>
      </c>
      <c r="CL14" s="231" t="str">
        <f>IF(CD14&lt;&gt;"",VLOOKUP(CD14,C$4:I$52,7,FALSE),"")</f>
        <v/>
      </c>
      <c r="CM14" s="231" t="str">
        <f>IF(CD14&lt;&gt;"",VLOOKUP(CD14,C$4:I$52,5,FALSE),"")</f>
        <v/>
      </c>
      <c r="CN14" s="231" t="str">
        <f>IF(CD14&lt;&gt;"",VLOOKUP(CD14,C$4:K$52,9,FALSE),"")</f>
        <v/>
      </c>
      <c r="CO14" s="231" t="str">
        <f t="shared" ref="CO14" si="28">CK14</f>
        <v/>
      </c>
      <c r="CP14" s="231" t="str">
        <f>IF(CD14&lt;&gt;"",RANK(CO14,CO11:CO15),"")</f>
        <v/>
      </c>
      <c r="CQ14" s="231" t="str">
        <f>IF(CD14&lt;&gt;"",SUMPRODUCT((CO11:CO15=CO14)*(CJ11:CJ15&gt;CJ14)),"")</f>
        <v/>
      </c>
      <c r="CR14" s="231" t="str">
        <f>IF(CD14&lt;&gt;"",SUMPRODUCT((CO11:CO15=CO14)*(CJ11:CJ15=CJ14)*(CH11:CH15&gt;CH14)),"")</f>
        <v/>
      </c>
      <c r="CS14" s="231" t="str">
        <f>IF(CD14&lt;&gt;"",SUMPRODUCT((CO11:CO15=CO14)*(CJ11:CJ15=CJ14)*(CH11:CH15=CH14)*(CL11:CL15&gt;CL14)),"")</f>
        <v/>
      </c>
      <c r="CT14" s="231" t="str">
        <f>IF(CD14&lt;&gt;"",SUMPRODUCT((CO11:CO15=CO14)*(CJ11:CJ15=CJ14)*(CH11:CH15=CH14)*(CL11:CL15=CL14)*(CM11:CM15&gt;CM14)),"")</f>
        <v/>
      </c>
      <c r="CU14" s="231" t="str">
        <f>IF(CD14&lt;&gt;"",SUMPRODUCT((CO11:CO15=CO14)*(CJ11:CJ15=CJ14)*(CH11:CH15=CH14)*(CL11:CL15=CL14)*(CM11:CM15=CM14)*(CN11:CN15&gt;CN14)),"")</f>
        <v/>
      </c>
      <c r="CV14" s="231" t="str">
        <f>IF(CD14&lt;&gt;"",SUM(CP14:CU14)+3,"")</f>
        <v/>
      </c>
      <c r="CW14" s="231" t="str">
        <f>IF(CD14&lt;&gt;"",IF(CV14=4,CD14,CD15),"")</f>
        <v/>
      </c>
      <c r="CX14" s="231" t="str">
        <f>IF(CW14&lt;&gt;"",CW14,IF(CC14&lt;&gt;"",CC14,IF(BI14&lt;&gt;"",BI14,IF(AO14&lt;&gt;"",AO14,O14))))</f>
        <v>Bosnia and Herzegovina</v>
      </c>
      <c r="CY14" s="231">
        <v>4</v>
      </c>
      <c r="CZ14" s="231">
        <v>12</v>
      </c>
      <c r="DA14" s="234" t="str">
        <f>Matches!H15</f>
        <v>Sweden</v>
      </c>
      <c r="DB14" s="234">
        <f>IF($DA$2&lt;&gt;"",IF(AND(Matches!J15&lt;&gt;"",Matches!K15&lt;&gt;""),Matches!J15,0),"")</f>
        <v>0</v>
      </c>
      <c r="DC14" s="234">
        <f>IF($DA$2&lt;&gt;"",IF(AND(Matches!J15&lt;&gt;"",Matches!K15&lt;&gt;""),Matches!K15,0),"")</f>
        <v>0</v>
      </c>
      <c r="DD14" s="234" t="str">
        <f>Matches!M15</f>
        <v>Tunisia</v>
      </c>
      <c r="DE14" s="234" t="str">
        <f>IF(AND(Matches!J15&lt;&gt;"",Matches!K15&lt;&gt;""),IF(DB14&gt;DC14,"W",IF(DB14=DC14,"D","L")),"")</f>
        <v/>
      </c>
      <c r="DF14" s="231" t="str">
        <f t="shared" si="0"/>
        <v/>
      </c>
      <c r="DI14" s="242"/>
      <c r="DQ14" s="238"/>
      <c r="DR14" s="239"/>
      <c r="DS14" s="240" t="str">
        <f t="shared" si="16"/>
        <v>Switzerland</v>
      </c>
      <c r="DT14" s="241" t="s">
        <v>641</v>
      </c>
      <c r="DU14" s="240"/>
      <c r="DV14" s="233">
        <v>8</v>
      </c>
      <c r="DW14" s="242">
        <v>-8.5</v>
      </c>
      <c r="DX14" s="230"/>
      <c r="DY14" s="243">
        <v>8</v>
      </c>
      <c r="DZ14" s="244">
        <f t="shared" si="14"/>
        <v>46186.625</v>
      </c>
      <c r="EA14" s="245">
        <v>46186.625</v>
      </c>
      <c r="EB14" s="246">
        <f t="shared" si="15"/>
        <v>46186.625</v>
      </c>
      <c r="EC14" s="245"/>
      <c r="EE14" s="233" t="str">
        <f>INDEX(Language!$A$1:$K$177,MATCH(Setup!B15,Language!$B$1:$B$177,0),MATCH(Setup!$C$5,Language!$A$1:$J$1,0))</f>
        <v>Switzerland</v>
      </c>
    </row>
    <row r="15" spans="1:135" ht="13.5" customHeight="1" x14ac:dyDescent="0.25">
      <c r="CZ15" s="231">
        <v>13</v>
      </c>
      <c r="DA15" s="234" t="str">
        <f>Matches!H16</f>
        <v>Saudi Arabia</v>
      </c>
      <c r="DB15" s="234">
        <f>IF($DA$2&lt;&gt;"",IF(AND(Matches!J16&lt;&gt;"",Matches!K16&lt;&gt;""),Matches!J16,0),"")</f>
        <v>0</v>
      </c>
      <c r="DC15" s="234">
        <f>IF($DA$2&lt;&gt;"",IF(AND(Matches!J16&lt;&gt;"",Matches!K16&lt;&gt;""),Matches!K16,0),"")</f>
        <v>0</v>
      </c>
      <c r="DD15" s="234" t="str">
        <f>Matches!M16</f>
        <v>Uruguay</v>
      </c>
      <c r="DE15" s="234" t="str">
        <f>IF(AND(Matches!J16&lt;&gt;"",Matches!K16&lt;&gt;""),IF(DB15&gt;DC15,"W",IF(DB15=DC15,"D","L")),"")</f>
        <v/>
      </c>
      <c r="DF15" s="231" t="str">
        <f t="shared" si="0"/>
        <v/>
      </c>
      <c r="DI15" s="242"/>
      <c r="DQ15" s="238" t="s">
        <v>74</v>
      </c>
      <c r="DR15" s="239"/>
      <c r="DS15" s="240" t="str">
        <f t="shared" si="16"/>
        <v>Brazil</v>
      </c>
      <c r="DT15" s="241" t="s">
        <v>642</v>
      </c>
      <c r="DU15" s="240"/>
      <c r="DV15" s="233">
        <v>9</v>
      </c>
      <c r="DW15" s="242">
        <v>-8</v>
      </c>
      <c r="DX15" s="230"/>
      <c r="DY15" s="243">
        <v>9</v>
      </c>
      <c r="DZ15" s="244">
        <f t="shared" si="14"/>
        <v>46187.791666666664</v>
      </c>
      <c r="EA15" s="245">
        <v>46187.791666666664</v>
      </c>
      <c r="EB15" s="246">
        <f t="shared" si="15"/>
        <v>46187.791666666664</v>
      </c>
      <c r="EC15" s="245"/>
      <c r="EE15" s="233" t="str">
        <f>INDEX(Language!$A$1:$K$177,MATCH(Setup!B16,Language!$B$1:$B$177,0),MATCH(Setup!$C$5,Language!$A$1:$J$1,0))</f>
        <v>Brazil</v>
      </c>
    </row>
    <row r="16" spans="1:135" ht="13.5" customHeight="1" x14ac:dyDescent="0.25">
      <c r="CZ16" s="231">
        <v>14</v>
      </c>
      <c r="DA16" s="234" t="str">
        <f>Matches!H17</f>
        <v>Spain</v>
      </c>
      <c r="DB16" s="234">
        <f>IF($DA$2&lt;&gt;"",IF(AND(Matches!J17&lt;&gt;"",Matches!K17&lt;&gt;""),Matches!J17,0),"")</f>
        <v>0</v>
      </c>
      <c r="DC16" s="234">
        <f>IF($DA$2&lt;&gt;"",IF(AND(Matches!J17&lt;&gt;"",Matches!K17&lt;&gt;""),Matches!K17,0),"")</f>
        <v>0</v>
      </c>
      <c r="DD16" s="234" t="str">
        <f>Matches!M17</f>
        <v>Cabo Verde</v>
      </c>
      <c r="DE16" s="234" t="str">
        <f>IF(AND(Matches!J17&lt;&gt;"",Matches!K17&lt;&gt;""),IF(DB16&gt;DC16,"W",IF(DB16=DC16,"D","L")),"")</f>
        <v/>
      </c>
      <c r="DF16" s="231" t="str">
        <f t="shared" si="0"/>
        <v/>
      </c>
      <c r="DI16" s="242"/>
      <c r="DQ16" s="238"/>
      <c r="DR16" s="239"/>
      <c r="DS16" s="240" t="str">
        <f t="shared" si="16"/>
        <v>Morocco</v>
      </c>
      <c r="DT16" s="241" t="s">
        <v>643</v>
      </c>
      <c r="DU16" s="240"/>
      <c r="DV16" s="233">
        <v>10</v>
      </c>
      <c r="DW16" s="242">
        <v>-7.5</v>
      </c>
      <c r="DX16" s="230"/>
      <c r="DY16" s="243">
        <v>10</v>
      </c>
      <c r="DZ16" s="244">
        <f t="shared" si="14"/>
        <v>46187.541666666664</v>
      </c>
      <c r="EA16" s="245">
        <v>46187.541666666664</v>
      </c>
      <c r="EB16" s="246">
        <f t="shared" si="15"/>
        <v>46187.541666666664</v>
      </c>
      <c r="EC16" s="245"/>
      <c r="EE16" s="233" t="str">
        <f>INDEX(Language!$A$1:$K$177,MATCH(Setup!B17,Language!$B$1:$B$177,0),MATCH(Setup!$C$5,Language!$A$1:$J$1,0))</f>
        <v>Morocco</v>
      </c>
    </row>
    <row r="17" spans="1:135" ht="13.5" customHeight="1" x14ac:dyDescent="0.25">
      <c r="W17" s="231" t="s">
        <v>72</v>
      </c>
      <c r="CZ17" s="231">
        <v>15</v>
      </c>
      <c r="DA17" s="234" t="str">
        <f>Matches!H18</f>
        <v>Iran</v>
      </c>
      <c r="DB17" s="234">
        <f>IF($DA$2&lt;&gt;"",IF(AND(Matches!J18&lt;&gt;"",Matches!K18&lt;&gt;""),Matches!J18,0),"")</f>
        <v>0</v>
      </c>
      <c r="DC17" s="234">
        <f>IF($DA$2&lt;&gt;"",IF(AND(Matches!J18&lt;&gt;"",Matches!K18&lt;&gt;""),Matches!K18,0),"")</f>
        <v>0</v>
      </c>
      <c r="DD17" s="234" t="str">
        <f>Matches!M18</f>
        <v>New Zealand</v>
      </c>
      <c r="DE17" s="234" t="str">
        <f>IF(AND(Matches!J18&lt;&gt;"",Matches!K18&lt;&gt;""),IF(DB17&gt;DC17,"W",IF(DB17=DC17,"D","L")),"")</f>
        <v/>
      </c>
      <c r="DF17" s="231" t="str">
        <f t="shared" si="0"/>
        <v/>
      </c>
      <c r="DI17" s="242"/>
      <c r="DQ17" s="238"/>
      <c r="DR17" s="239"/>
      <c r="DS17" s="240" t="str">
        <f t="shared" si="16"/>
        <v>Haiti</v>
      </c>
      <c r="DT17" s="241" t="s">
        <v>644</v>
      </c>
      <c r="DU17" s="240"/>
      <c r="DV17" s="233">
        <v>11</v>
      </c>
      <c r="DW17" s="242">
        <v>-7</v>
      </c>
      <c r="DX17" s="230"/>
      <c r="DY17" s="243">
        <v>11</v>
      </c>
      <c r="DZ17" s="244">
        <f t="shared" si="14"/>
        <v>46187.666666666664</v>
      </c>
      <c r="EA17" s="245">
        <v>46187.666666666664</v>
      </c>
      <c r="EB17" s="246">
        <f t="shared" si="15"/>
        <v>46187.666666666664</v>
      </c>
      <c r="EC17" s="245"/>
      <c r="EE17" s="233" t="str">
        <f>INDEX(Language!$A$1:$K$177,MATCH(Setup!B18,Language!$B$1:$B$177,0),MATCH(Setup!$C$5,Language!$A$1:$J$1,0))</f>
        <v>Haiti</v>
      </c>
    </row>
    <row r="18" spans="1:135" ht="13.5" customHeight="1" x14ac:dyDescent="0.25">
      <c r="A18" s="230">
        <f>Setup!F16+100</f>
        <v>105</v>
      </c>
      <c r="B18" s="231">
        <f>VLOOKUP(C18,CX$18:CY$22,2,FALSE)</f>
        <v>1</v>
      </c>
      <c r="C18" s="232" t="str">
        <f>EE15</f>
        <v>Brazil</v>
      </c>
      <c r="D18" s="231">
        <f>SUMPRODUCT((DA$3:DA$105=C18)*(DE$3:DE$105="W"))+SUMPRODUCT((DD$3:DD$105=C18)*(DF$3:DF$105="W"))</f>
        <v>0</v>
      </c>
      <c r="E18" s="231">
        <f>SUMPRODUCT((DA$3:DA$105=C18)*(DE$3:DE$105="D"))+SUMPRODUCT((DD$3:DD$105=C18)*(DF$3:DF$105="D"))</f>
        <v>0</v>
      </c>
      <c r="F18" s="231">
        <f>SUMPRODUCT((DA$3:DA$105=C18)*(DE$3:DE$105="L"))+SUMPRODUCT((DD$3:DD$105=C18)*(DF$3:DF$105="L"))</f>
        <v>0</v>
      </c>
      <c r="G18" s="231">
        <f>SUMIF(DA3:DA123,C18,DB3:DB123)+SUMIF(DD3:DD123,C18,DC3:DC123)</f>
        <v>0</v>
      </c>
      <c r="H18" s="231">
        <f>SUMIF(DD3:DD123,C18,DB3:DB123)+SUMIF(DA3:DA123,C18,DC3:DC123)</f>
        <v>0</v>
      </c>
      <c r="I18" s="231">
        <f t="shared" ref="I18:I21" si="29">G18-H18+1000</f>
        <v>1000</v>
      </c>
      <c r="J18" s="231">
        <f t="shared" ref="J18:J21" si="30">D18*3+E18*1</f>
        <v>0</v>
      </c>
      <c r="K18" s="231">
        <f>IF(Setup!G16&lt;&gt;"",Setup!G16,-A18)</f>
        <v>-105</v>
      </c>
      <c r="L18" s="231">
        <f>IF(COUNTIF(J18:J22,4)&lt;&gt;4,RANK(J18,J18:J22),J97)</f>
        <v>1</v>
      </c>
      <c r="N18" s="231">
        <f>SUMPRODUCT((L18:L21=L18)*(K18:K21&lt;K18))+L18</f>
        <v>4</v>
      </c>
      <c r="O18" s="232" t="str">
        <f>INDEX(C18:C22,MATCH(1,N18:N22,0),0)</f>
        <v>Haiti</v>
      </c>
      <c r="P18" s="231">
        <f>INDEX(L18:L22,MATCH(O18,C18:C22,0),0)</f>
        <v>1</v>
      </c>
      <c r="Q18" s="231" t="str">
        <f>IF(P19=1,O18,"")</f>
        <v>Haiti</v>
      </c>
      <c r="R18" s="231" t="str">
        <f>IF(P20=2,O19,"")</f>
        <v/>
      </c>
      <c r="S18" s="231" t="str">
        <f>IF(P21=3,O20,"")</f>
        <v/>
      </c>
      <c r="T18" s="231" t="str">
        <f>IF(P22=4,O21,"")</f>
        <v/>
      </c>
      <c r="V18" s="231" t="str">
        <f>IF(Q18&lt;&gt;"",Q18,"")</f>
        <v>Haiti</v>
      </c>
      <c r="W18" s="231">
        <f>SUMPRODUCT((DA$3:DA$105=V18)*(DD$3:DD$105=V19)*(DE$3:DE$105="W"))+SUMPRODUCT((DA$3:DA$105=V18)*(DD$3:DD$105=V20)*(DE$3:DE$105="W"))+SUMPRODUCT((DA$3:DA$105=V18)*(DD$3:DD$105=V21)*(DE$3:DE$105="W"))+SUMPRODUCT((DA$3:DA$105=V18)*(DD$3:DD$105=V22)*(DE$3:DE$105="W"))+SUMPRODUCT((DA$3:DA$105=V19)*(DD$3:DD$105=V18)*(DF$3:DF$105="W"))+SUMPRODUCT((DA$3:DA$105=V20)*(DD$3:DD$105=V18)*(DF$3:DF$105="W"))+SUMPRODUCT((DA$3:DA$105=V21)*(DD$3:DD$105=V18)*(DF$3:DF$105="W"))+SUMPRODUCT((DA$3:DA$105=V22)*(DD$3:DD$105=V18)*(DF$3:DF$105="W"))</f>
        <v>0</v>
      </c>
      <c r="X18" s="231">
        <f>SUMPRODUCT((DA$3:DA$105=V18)*(DD$3:DD$105=V19)*(DE$3:DE$105="D"))+SUMPRODUCT((DA$3:DA$105=V18)*(DD$3:DD$105=V20)*(DE$3:DE$105="D"))+SUMPRODUCT((DA$3:DA$105=V18)*(DD$3:DD$105=V21)*(DE$3:DE$105="D"))+SUMPRODUCT((DA$3:DA$105=V18)*(DD$3:DD$105=V22)*(DE$3:DE$105="D"))+SUMPRODUCT((DA$3:DA$105=V19)*(DD$3:DD$105=V18)*(DE$3:DE$105="D"))+SUMPRODUCT((DA$3:DA$105=V20)*(DD$3:DD$105=V18)*(DE$3:DE$105="D"))+SUMPRODUCT((DA$3:DA$105=V21)*(DD$3:DD$105=V18)*(DE$3:DE$105="D"))+SUMPRODUCT((DA$3:DA$105=V22)*(DD$3:DD$105=V18)*(DE$3:DE$105="D"))</f>
        <v>0</v>
      </c>
      <c r="Y18" s="231">
        <f>SUMPRODUCT((DA$3:DA$105=V18)*(DD$3:DD$105=V19)*(DE$3:DE$105="L"))+SUMPRODUCT((DA$3:DA$105=V18)*(DD$3:DD$105=V20)*(DE$3:DE$105="L"))+SUMPRODUCT((DA$3:DA$105=V18)*(DD$3:DD$105=V21)*(DE$3:DE$105="L"))+SUMPRODUCT((DA$3:DA$105=V18)*(DD$3:DD$105=V22)*(DE$3:DE$105="L"))+SUMPRODUCT((DA$3:DA$105=V19)*(DD$3:DD$105=V18)*(DF$3:DF$105="L"))+SUMPRODUCT((DA$3:DA$105=V20)*(DD$3:DD$105=V18)*(DF$3:DF$105="L"))+SUMPRODUCT((DA$3:DA$105=V21)*(DD$3:DD$105=V18)*(DF$3:DF$105="L"))+SUMPRODUCT((DA$3:DA$105=V22)*(DD$3:DD$105=V18)*(DF$3:DF$105="L"))</f>
        <v>0</v>
      </c>
      <c r="Z18" s="231">
        <f>SUMPRODUCT((DA$3:DA$105=V18)*(DD$3:DD$105=V19)*DB$3:DB$105)+SUMPRODUCT((DA$3:DA$105=V18)*(DD$3:DD$105=V20)*DB$3:DB$105)+SUMPRODUCT((DA$3:DA$105=V18)*(DD$3:DD$105=V21)*DB$3:DB$105)+SUMPRODUCT((DA$3:DA$105=V18)*(DD$3:DD$105=V22)*DB$3:DB$105)+SUMPRODUCT((DA$3:DA$105=V19)*(DD$3:DD$105=V18)*DC$3:DC$105)+SUMPRODUCT((DA$3:DA$105=V20)*(DD$3:DD$105=V18)*DC$3:DC$105)+SUMPRODUCT((DA$3:DA$105=V21)*(DD$3:DD$105=V18)*DC$3:DC$105)+SUMPRODUCT((DA$3:DA$105=V22)*(DD$3:DD$105=V18)*DC$3:DC$105)</f>
        <v>0</v>
      </c>
      <c r="AA18" s="231">
        <f>SUMPRODUCT((DA$3:DA$105=V18)*(DD$3:DD$105=V19)*DC$3:DC$105)+SUMPRODUCT((DA$3:DA$105=V18)*(DD$3:DD$105=V20)*DC$3:DC$105)+SUMPRODUCT((DA$3:DA$105=V18)*(DD$3:DD$105=V21)*DC$3:DC$105)+SUMPRODUCT((DA$3:DA$105=V18)*(DD$3:DD$105=V22)*DC$3:DC$105)+SUMPRODUCT((DA$3:DA$105=V19)*(DD$3:DD$105=V18)*DB$3:DB$105)+SUMPRODUCT((DA$3:DA$105=V20)*(DD$3:DD$105=V18)*DB$3:DB$105)+SUMPRODUCT((DA$3:DA$105=V21)*(DD$3:DD$105=V18)*DB$3:DB$105)+SUMPRODUCT((DA$3:DA$105=V22)*(DD$3:DD$105=V18)*DB$3:DB$105)</f>
        <v>0</v>
      </c>
      <c r="AB18" s="231">
        <f>Z18-AA18+1000</f>
        <v>1000</v>
      </c>
      <c r="AC18" s="231">
        <f t="shared" ref="AC18:AC21" si="31">IF(V18&lt;&gt;"",W18*3+X18*1,"")</f>
        <v>0</v>
      </c>
      <c r="AD18" s="231">
        <f>IF(V18&lt;&gt;"",VLOOKUP(V18,C$4:I$52,7,FALSE),"")</f>
        <v>1000</v>
      </c>
      <c r="AE18" s="231">
        <f>IF(V18&lt;&gt;"",VLOOKUP(V18,C$4:I$52,5,FALSE),"")</f>
        <v>0</v>
      </c>
      <c r="AF18" s="231">
        <f>IF(V18&lt;&gt;"",VLOOKUP(V18,C$4:K$52,9,FALSE),"")</f>
        <v>-183</v>
      </c>
      <c r="AG18" s="231">
        <f t="shared" ref="AG18:AG21" si="32">AC18</f>
        <v>0</v>
      </c>
      <c r="AH18" s="231">
        <f>IF(V18&lt;&gt;"",RANK(AG18,AG18:AG22),"")</f>
        <v>1</v>
      </c>
      <c r="AI18" s="231">
        <f>IF(V18&lt;&gt;"",SUMPRODUCT((AG18:AG22=AG18)*(AB18:AB22&gt;AB18)),"")</f>
        <v>0</v>
      </c>
      <c r="AJ18" s="231">
        <f>IF(V18&lt;&gt;"",SUMPRODUCT((AG18:AG22=AG18)*(AB18:AB22=AB18)*(Z18:Z22&gt;Z18)),"")</f>
        <v>0</v>
      </c>
      <c r="AK18" s="231">
        <f>IF(V18&lt;&gt;"",SUMPRODUCT((AG18:AG22=AG18)*(AB18:AB22=AB18)*(Z18:Z22=Z18)*(AD18:AD22&gt;AD18)),"")</f>
        <v>0</v>
      </c>
      <c r="AL18" s="231">
        <f>IF(V18&lt;&gt;"",SUMPRODUCT((AG18:AG22=AG18)*(AB18:AB22=AB18)*(Z18:Z22=Z18)*(AD18:AD22=AD18)*(AE18:AE22&gt;AE18)),"")</f>
        <v>0</v>
      </c>
      <c r="AM18" s="231">
        <f>IF(V18&lt;&gt;"",SUMPRODUCT((AG18:AG22=AG18)*(AB18:AB22=AB18)*(Z18:Z22=Z18)*(AD18:AD22=AD18)*(AE18:AE22=AE18)*(AF18:AF22&gt;AF18)),"")</f>
        <v>3</v>
      </c>
      <c r="AN18" s="231">
        <f>IF(V18&lt;&gt;"",IF(AN97&lt;&gt;"",IF(U96=3,AN97,AN97+U96),SUM(AH18:AM18)),"")</f>
        <v>4</v>
      </c>
      <c r="AO18" s="231" t="str">
        <f>IF(V18&lt;&gt;"",INDEX(V18:V22,MATCH(1,AN18:AN22,0),0),"")</f>
        <v>Brazil</v>
      </c>
      <c r="CX18" s="231" t="str">
        <f>IF(AO18&lt;&gt;"",AO18,O18)</f>
        <v>Brazil</v>
      </c>
      <c r="CY18" s="231">
        <v>1</v>
      </c>
      <c r="CZ18" s="231">
        <v>16</v>
      </c>
      <c r="DA18" s="234" t="str">
        <f>Matches!H19</f>
        <v>Belgium</v>
      </c>
      <c r="DB18" s="234">
        <f>IF($DA$2&lt;&gt;"",IF(AND(Matches!J19&lt;&gt;"",Matches!K19&lt;&gt;""),Matches!J19,0),"")</f>
        <v>0</v>
      </c>
      <c r="DC18" s="234">
        <f>IF($DA$2&lt;&gt;"",IF(AND(Matches!J19&lt;&gt;"",Matches!K19&lt;&gt;""),Matches!K19,0),"")</f>
        <v>0</v>
      </c>
      <c r="DD18" s="234" t="str">
        <f>Matches!M19</f>
        <v>Egypt</v>
      </c>
      <c r="DE18" s="234" t="str">
        <f>IF(AND(Matches!J19&lt;&gt;"",Matches!K19&lt;&gt;""),IF(DB18&gt;DC18,"W",IF(DB18=DC18,"D","L")),"")</f>
        <v/>
      </c>
      <c r="DF18" s="231" t="str">
        <f t="shared" si="0"/>
        <v/>
      </c>
      <c r="DI18" s="242"/>
      <c r="DQ18" s="238"/>
      <c r="DR18" s="239"/>
      <c r="DS18" s="240" t="str">
        <f t="shared" si="16"/>
        <v>Scotland</v>
      </c>
      <c r="DT18" s="241" t="s">
        <v>645</v>
      </c>
      <c r="DU18" s="240"/>
      <c r="DV18" s="233">
        <v>12</v>
      </c>
      <c r="DW18" s="242">
        <v>-6.5</v>
      </c>
      <c r="DX18" s="230"/>
      <c r="DY18" s="243">
        <v>12</v>
      </c>
      <c r="DZ18" s="244">
        <f t="shared" si="14"/>
        <v>46187.916666666664</v>
      </c>
      <c r="EA18" s="245">
        <v>46187.916666666664</v>
      </c>
      <c r="EB18" s="246">
        <f t="shared" si="15"/>
        <v>46187.916666666664</v>
      </c>
      <c r="EC18" s="245"/>
      <c r="EE18" s="233" t="str">
        <f>INDEX(Language!$A$1:$K$177,MATCH(Setup!B19,Language!$B$1:$B$177,0),MATCH(Setup!$C$5,Language!$A$1:$J$1,0))</f>
        <v>Scotland</v>
      </c>
    </row>
    <row r="19" spans="1:135" ht="13.5" customHeight="1" x14ac:dyDescent="0.25">
      <c r="A19" s="230">
        <f>Setup!F17+100</f>
        <v>108</v>
      </c>
      <c r="B19" s="231">
        <f>VLOOKUP(C19,CX$18:CY$22,2,FALSE)</f>
        <v>2</v>
      </c>
      <c r="C19" s="232" t="str">
        <f t="shared" ref="C19:C21" si="33">EE16</f>
        <v>Morocco</v>
      </c>
      <c r="D19" s="231">
        <f>SUMPRODUCT((DA$3:DA$105=C19)*(DE$3:DE$105="W"))+SUMPRODUCT((DD$3:DD$105=C19)*(DF$3:DF$105="W"))</f>
        <v>0</v>
      </c>
      <c r="E19" s="231">
        <f>SUMPRODUCT((DA$3:DA$105=C19)*(DE$3:DE$105="D"))+SUMPRODUCT((DD$3:DD$105=C19)*(DF$3:DF$105="D"))</f>
        <v>0</v>
      </c>
      <c r="F19" s="231">
        <f>SUMPRODUCT((DA$3:DA$105=C19)*(DE$3:DE$105="L"))+SUMPRODUCT((DD$3:DD$105=C19)*(DF$3:DF$105="L"))</f>
        <v>0</v>
      </c>
      <c r="G19" s="231">
        <f>SUMIF(DA3:DA123,C19,DB3:DB123)+SUMIF(DD3:DD123,C19,DC3:DC123)</f>
        <v>0</v>
      </c>
      <c r="H19" s="231">
        <f>SUMIF(DD3:DD123,C19,DB3:DB123)+SUMIF(DA3:DA123,C19,DC3:DC123)</f>
        <v>0</v>
      </c>
      <c r="I19" s="231">
        <f t="shared" si="29"/>
        <v>1000</v>
      </c>
      <c r="J19" s="231">
        <f t="shared" si="30"/>
        <v>0</v>
      </c>
      <c r="K19" s="231">
        <f>IF(Setup!G17&lt;&gt;"",Setup!G17,-A19)</f>
        <v>-108</v>
      </c>
      <c r="L19" s="231">
        <f>IF(COUNTIF(J18:J22,4)&lt;&gt;4,RANK(J19,J18:J22),J98)</f>
        <v>1</v>
      </c>
      <c r="N19" s="231">
        <f>SUMPRODUCT((L18:L21=L19)*(K18:K21&lt;K19))+L19</f>
        <v>3</v>
      </c>
      <c r="O19" s="232" t="str">
        <f>INDEX(C18:C22,MATCH(2,N18:N22,0),0)</f>
        <v>Scotland</v>
      </c>
      <c r="P19" s="231">
        <f>INDEX(L18:L22,MATCH(O19,C18:C22,0),0)</f>
        <v>1</v>
      </c>
      <c r="Q19" s="231" t="str">
        <f>IF(Q18&lt;&gt;"",O19,"")</f>
        <v>Scotland</v>
      </c>
      <c r="R19" s="231" t="str">
        <f>IF(R18&lt;&gt;"",O20,"")</f>
        <v/>
      </c>
      <c r="S19" s="231" t="str">
        <f>IF(S18&lt;&gt;"",O21,"")</f>
        <v/>
      </c>
      <c r="T19" s="231" t="str">
        <f>IF(T18&lt;&gt;"",O22,"")</f>
        <v/>
      </c>
      <c r="V19" s="231" t="str">
        <f t="shared" ref="V19:V21" si="34">IF(Q19&lt;&gt;"",Q19,"")</f>
        <v>Scotland</v>
      </c>
      <c r="W19" s="231">
        <f>SUMPRODUCT((DA$3:DA$105=V19)*(DD$3:DD$105=V20)*(DE$3:DE$105="W"))+SUMPRODUCT((DA$3:DA$105=V19)*(DD$3:DD$105=V21)*(DE$3:DE$105="W"))+SUMPRODUCT((DA$3:DA$105=V19)*(DD$3:DD$105=V22)*(DE$3:DE$105="W"))+SUMPRODUCT((DA$3:DA$105=V19)*(DD$3:DD$105=V18)*(DE$3:DE$105="W"))+SUMPRODUCT((DA$3:DA$105=V20)*(DD$3:DD$105=V19)*(DF$3:DF$105="W"))+SUMPRODUCT((DA$3:DA$105=V21)*(DD$3:DD$105=V19)*(DF$3:DF$105="W"))+SUMPRODUCT((DA$3:DA$105=V22)*(DD$3:DD$105=V19)*(DF$3:DF$105="W"))+SUMPRODUCT((DA$3:DA$105=V18)*(DD$3:DD$105=V19)*(DF$3:DF$105="W"))</f>
        <v>0</v>
      </c>
      <c r="X19" s="231">
        <f>SUMPRODUCT((DA$3:DA$105=V19)*(DD$3:DD$105=V20)*(DE$3:DE$105="D"))+SUMPRODUCT((DA$3:DA$105=V19)*(DD$3:DD$105=V21)*(DE$3:DE$105="D"))+SUMPRODUCT((DA$3:DA$105=V19)*(DD$3:DD$105=V22)*(DE$3:DE$105="D"))+SUMPRODUCT((DA$3:DA$105=V19)*(DD$3:DD$105=V18)*(DE$3:DE$105="D"))+SUMPRODUCT((DA$3:DA$105=V20)*(DD$3:DD$105=V19)*(DE$3:DE$105="D"))+SUMPRODUCT((DA$3:DA$105=V21)*(DD$3:DD$105=V19)*(DE$3:DE$105="D"))+SUMPRODUCT((DA$3:DA$105=V22)*(DD$3:DD$105=V19)*(DE$3:DE$105="D"))+SUMPRODUCT((DA$3:DA$105=V18)*(DD$3:DD$105=V19)*(DE$3:DE$105="D"))</f>
        <v>0</v>
      </c>
      <c r="Y19" s="231">
        <f>SUMPRODUCT((DA$3:DA$105=V19)*(DD$3:DD$105=V20)*(DE$3:DE$105="L"))+SUMPRODUCT((DA$3:DA$105=V19)*(DD$3:DD$105=V21)*(DE$3:DE$105="L"))+SUMPRODUCT((DA$3:DA$105=V19)*(DD$3:DD$105=V22)*(DE$3:DE$105="L"))+SUMPRODUCT((DA$3:DA$105=V19)*(DD$3:DD$105=V18)*(DE$3:DE$105="L"))+SUMPRODUCT((DA$3:DA$105=V20)*(DD$3:DD$105=V19)*(DF$3:DF$105="L"))+SUMPRODUCT((DA$3:DA$105=V21)*(DD$3:DD$105=V19)*(DF$3:DF$105="L"))+SUMPRODUCT((DA$3:DA$105=V22)*(DD$3:DD$105=V19)*(DF$3:DF$105="L"))+SUMPRODUCT((DA$3:DA$105=V18)*(DD$3:DD$105=V19)*(DF$3:DF$105="L"))</f>
        <v>0</v>
      </c>
      <c r="Z19" s="231">
        <f>SUMPRODUCT((DA$3:DA$105=V19)*(DD$3:DD$105=V20)*DB$3:DB$105)+SUMPRODUCT((DA$3:DA$105=V19)*(DD$3:DD$105=V21)*DB$3:DB$105)+SUMPRODUCT((DA$3:DA$105=V19)*(DD$3:DD$105=V22)*DB$3:DB$105)+SUMPRODUCT((DA$3:DA$105=V19)*(DD$3:DD$105=V18)*DB$3:DB$105)+SUMPRODUCT((DA$3:DA$105=V20)*(DD$3:DD$105=V19)*DC$3:DC$105)+SUMPRODUCT((DA$3:DA$105=V21)*(DD$3:DD$105=V19)*DC$3:DC$105)+SUMPRODUCT((DA$3:DA$105=V22)*(DD$3:DD$105=V19)*DC$3:DC$105)+SUMPRODUCT((DA$3:DA$105=V18)*(DD$3:DD$105=V19)*DC$3:DC$105)</f>
        <v>0</v>
      </c>
      <c r="AA19" s="231">
        <f>SUMPRODUCT((DA$3:DA$105=V19)*(DD$3:DD$105=V20)*DC$3:DC$105)+SUMPRODUCT((DA$3:DA$105=V19)*(DD$3:DD$105=V21)*DC$3:DC$105)+SUMPRODUCT((DA$3:DA$105=V19)*(DD$3:DD$105=V22)*DC$3:DC$105)+SUMPRODUCT((DA$3:DA$105=V19)*(DD$3:DD$105=V18)*DC$3:DC$105)+SUMPRODUCT((DA$3:DA$105=V20)*(DD$3:DD$105=V19)*DB$3:DB$105)+SUMPRODUCT((DA$3:DA$105=V21)*(DD$3:DD$105=V19)*DB$3:DB$105)+SUMPRODUCT((DA$3:DA$105=V22)*(DD$3:DD$105=V19)*DB$3:DB$105)+SUMPRODUCT((DA$3:DA$105=V18)*(DD$3:DD$105=V19)*DB$3:DB$105)</f>
        <v>0</v>
      </c>
      <c r="AB19" s="231">
        <f>Z19-AA19+1000</f>
        <v>1000</v>
      </c>
      <c r="AC19" s="231">
        <f t="shared" si="31"/>
        <v>0</v>
      </c>
      <c r="AD19" s="231">
        <f>IF(V19&lt;&gt;"",VLOOKUP(V19,C$4:I$52,7,FALSE),"")</f>
        <v>1000</v>
      </c>
      <c r="AE19" s="231">
        <f>IF(V19&lt;&gt;"",VLOOKUP(V19,C$4:I$52,5,FALSE),"")</f>
        <v>0</v>
      </c>
      <c r="AF19" s="231">
        <f>IF(V19&lt;&gt;"",VLOOKUP(V19,C$4:K$52,9,FALSE),"")</f>
        <v>-138</v>
      </c>
      <c r="AG19" s="231">
        <f t="shared" si="32"/>
        <v>0</v>
      </c>
      <c r="AH19" s="231">
        <f>IF(V19&lt;&gt;"",RANK(AG19,AG18:AG22),"")</f>
        <v>1</v>
      </c>
      <c r="AI19" s="231">
        <f>IF(V19&lt;&gt;"",SUMPRODUCT((AG18:AG22=AG19)*(AB18:AB22&gt;AB19)),"")</f>
        <v>0</v>
      </c>
      <c r="AJ19" s="231">
        <f>IF(V19&lt;&gt;"",SUMPRODUCT((AG18:AG22=AG19)*(AB18:AB22=AB19)*(Z18:Z22&gt;Z19)),"")</f>
        <v>0</v>
      </c>
      <c r="AK19" s="231">
        <f>IF(V19&lt;&gt;"",SUMPRODUCT((AG18:AG22=AG19)*(AB18:AB22=AB19)*(Z18:Z22=Z19)*(AD18:AD22&gt;AD19)),"")</f>
        <v>0</v>
      </c>
      <c r="AL19" s="231">
        <f>IF(V19&lt;&gt;"",SUMPRODUCT((AG18:AG22=AG19)*(AB18:AB22=AB19)*(Z18:Z22=Z19)*(AD18:AD22=AD19)*(AE18:AE22&gt;AE19)),"")</f>
        <v>0</v>
      </c>
      <c r="AM19" s="231">
        <f>IF(V19&lt;&gt;"",SUMPRODUCT((AG18:AG22=AG19)*(AB18:AB22=AB19)*(Z18:Z22=Z19)*(AD18:AD22=AD19)*(AE18:AE22=AE19)*(AF18:AF22&gt;AF19)),"")</f>
        <v>2</v>
      </c>
      <c r="AN19" s="231">
        <f>IF(V19&lt;&gt;"",IF(AN98&lt;&gt;"",IF(U96=3,AN98,AN98+U96),SUM(AH19:AM19)),"")</f>
        <v>3</v>
      </c>
      <c r="AO19" s="231" t="str">
        <f>IF(V19&lt;&gt;"",INDEX(V18:V22,MATCH(2,AN18:AN22,0),0),"")</f>
        <v>Morocco</v>
      </c>
      <c r="AP19" s="231" t="str">
        <f>IF(R18&lt;&gt;"",R18,"")</f>
        <v/>
      </c>
      <c r="AQ19" s="231">
        <f>SUMPRODUCT((DA$3:DA$105=AP19)*(DD$3:DD$105=AP20)*(DE$3:DE$105="W"))+SUMPRODUCT((DA$3:DA$105=AP19)*(DD$3:DD$105=AP21)*(DE$3:DE$105="W"))+SUMPRODUCT((DA$3:DA$105=AP19)*(DD$3:DD$105=AP22)*(DE$3:DE$105="W"))+SUMPRODUCT((DA$3:DA$105=AP20)*(DD$3:DD$105=AP19)*(DF$3:DF$105="W"))+SUMPRODUCT((DA$3:DA$105=AP21)*(DD$3:DD$105=AP19)*(DF$3:DF$105="W"))+SUMPRODUCT((DA$3:DA$105=AP22)*(DD$3:DD$105=AP19)*(DF$3:DF$105="W"))</f>
        <v>0</v>
      </c>
      <c r="AR19" s="231">
        <f>SUMPRODUCT((DA$3:DA$105=AP19)*(DD$3:DD$105=AP20)*(DE$3:DE$105="D"))+SUMPRODUCT((DA$3:DA$105=AP19)*(DD$3:DD$105=AP21)*(DE$3:DE$105="D"))+SUMPRODUCT((DA$3:DA$105=AP19)*(DD$3:DD$105=AP22)*(DE$3:DE$105="D"))+SUMPRODUCT((DA$3:DA$105=AP20)*(DD$3:DD$105=AP19)*(DE$3:DE$105="D"))+SUMPRODUCT((DA$3:DA$105=AP21)*(DD$3:DD$105=AP19)*(DE$3:DE$105="D"))+SUMPRODUCT((DA$3:DA$105=AP22)*(DD$3:DD$105=AP19)*(DE$3:DE$105="D"))</f>
        <v>0</v>
      </c>
      <c r="AS19" s="231">
        <f>SUMPRODUCT((DA$3:DA$105=AP19)*(DD$3:DD$105=AP20)*(DE$3:DE$105="L"))+SUMPRODUCT((DA$3:DA$105=AP19)*(DD$3:DD$105=AP21)*(DE$3:DE$105="L"))+SUMPRODUCT((DA$3:DA$105=AP19)*(DD$3:DD$105=AP22)*(DE$3:DE$105="L"))+SUMPRODUCT((DA$3:DA$105=AP20)*(DD$3:DD$105=AP19)*(DF$3:DF$105="L"))+SUMPRODUCT((DA$3:DA$105=AP21)*(DD$3:DD$105=AP19)*(DF$3:DF$105="L"))+SUMPRODUCT((DA$3:DA$105=AP22)*(DD$3:DD$105=AP19)*(DF$3:DF$105="L"))</f>
        <v>0</v>
      </c>
      <c r="AT19" s="231">
        <f>SUMPRODUCT((DA$3:DA$105=AP19)*(DD$3:DD$105=AP20)*DB$3:DB$105)+SUMPRODUCT((DA$3:DA$105=AP19)*(DD$3:DD$105=AP21)*DB$3:DB$105)+SUMPRODUCT((DA$3:DA$105=AP19)*(DD$3:DD$105=AP22)*DB$3:DB$105)+SUMPRODUCT((DA$3:DA$105=AP19)*(DD$3:DD$105=AP18)*DB$3:DB$105)+SUMPRODUCT((DA$3:DA$105=AP20)*(DD$3:DD$105=AP19)*DC$3:DC$105)+SUMPRODUCT((DA$3:DA$105=AP21)*(DD$3:DD$105=AP19)*DC$3:DC$105)+SUMPRODUCT((DA$3:DA$105=AP22)*(DD$3:DD$105=AP19)*DC$3:DC$105)+SUMPRODUCT((DA$3:DA$105=AP18)*(DD$3:DD$105=AP19)*DC$3:DC$105)</f>
        <v>0</v>
      </c>
      <c r="AU19" s="231">
        <f>SUMPRODUCT((DA$3:DA$105=AP19)*(DD$3:DD$105=AP20)*DC$3:DC$105)+SUMPRODUCT((DA$3:DA$105=AP19)*(DD$3:DD$105=AP21)*DC$3:DC$105)+SUMPRODUCT((DA$3:DA$105=AP19)*(DD$3:DD$105=AP22)*DC$3:DC$105)+SUMPRODUCT((DA$3:DA$105=AP19)*(DD$3:DD$105=AP18)*DC$3:DC$105)+SUMPRODUCT((DA$3:DA$105=AP20)*(DD$3:DD$105=AP19)*DB$3:DB$105)+SUMPRODUCT((DA$3:DA$105=AP21)*(DD$3:DD$105=AP19)*DB$3:DB$105)+SUMPRODUCT((DA$3:DA$105=AP22)*(DD$3:DD$105=AP19)*DB$3:DB$105)+SUMPRODUCT((DA$3:DA$105=AP18)*(DD$3:DD$105=AP19)*DB$3:DB$105)</f>
        <v>0</v>
      </c>
      <c r="AV19" s="231">
        <f>AT19-AU19+1000</f>
        <v>1000</v>
      </c>
      <c r="AW19" s="231" t="str">
        <f t="shared" ref="AW19:AW21" si="35">IF(AP19&lt;&gt;"",AQ19*3+AR19*1,"")</f>
        <v/>
      </c>
      <c r="AX19" s="231" t="str">
        <f>IF(AP19&lt;&gt;"",VLOOKUP(AP19,C$4:I$52,7,FALSE),"")</f>
        <v/>
      </c>
      <c r="AY19" s="231" t="str">
        <f>IF(AP19&lt;&gt;"",VLOOKUP(AP19,C$4:I$52,5,FALSE),"")</f>
        <v/>
      </c>
      <c r="AZ19" s="231" t="str">
        <f>IF(AP19&lt;&gt;"",VLOOKUP(AP19,C$4:K$52,9,FALSE),"")</f>
        <v/>
      </c>
      <c r="BA19" s="231" t="str">
        <f t="shared" ref="BA19:BA21" si="36">AW19</f>
        <v/>
      </c>
      <c r="BB19" s="231" t="str">
        <f>IF(AP19&lt;&gt;"",RANK(BA19,BA18:BA22),"")</f>
        <v/>
      </c>
      <c r="BC19" s="231" t="str">
        <f>IF(AP19&lt;&gt;"",SUMPRODUCT((BA18:BA22=BA19)*(AV18:AV22&gt;AV19)),"")</f>
        <v/>
      </c>
      <c r="BD19" s="231" t="str">
        <f>IF(AP19&lt;&gt;"",SUMPRODUCT((BA18:BA22=BA19)*(AV18:AV22=AV19)*(AT18:AT22&gt;AT19)),"")</f>
        <v/>
      </c>
      <c r="BE19" s="231" t="str">
        <f>IF(AP19&lt;&gt;"",SUMPRODUCT((BA18:BA22=BA19)*(AV18:AV22=AV19)*(AT18:AT22=AT19)*(AX18:AX22&gt;AX19)),"")</f>
        <v/>
      </c>
      <c r="BF19" s="231" t="str">
        <f>IF(AP19&lt;&gt;"",SUMPRODUCT((BA18:BA22=BA19)*(AV18:AV22=AV19)*(AT18:AT22=AT19)*(AX18:AX22=AX19)*(AY18:AY22&gt;AY19)),"")</f>
        <v/>
      </c>
      <c r="BG19" s="231" t="str">
        <f>IF(AP19&lt;&gt;"",SUMPRODUCT((BA18:BA22=BA19)*(AV18:AV22=AV19)*(AT18:AT22=AT19)*(AX18:AX22=AX19)*(AY18:AY22=AY19)*(AZ18:AZ22&gt;AZ19)),"")</f>
        <v/>
      </c>
      <c r="BH19" s="231" t="str">
        <f>IF(AP19&lt;&gt;"",IF(BH98&lt;&gt;"",IF(AO96=3,BH98,BH98+AO96),SUM(BB19:BG19)+1),"")</f>
        <v/>
      </c>
      <c r="BI19" s="231" t="str">
        <f>IF(AP19&lt;&gt;"",INDEX(AP19:AP22,MATCH(2,BH19:BH22,0),0),"")</f>
        <v/>
      </c>
      <c r="CX19" s="231" t="str">
        <f>IF(BI19&lt;&gt;"",BI19,IF(AO19&lt;&gt;"",AO19,O19))</f>
        <v>Morocco</v>
      </c>
      <c r="CY19" s="231">
        <v>2</v>
      </c>
      <c r="CZ19" s="231">
        <v>17</v>
      </c>
      <c r="DA19" s="234" t="str">
        <f>Matches!H20</f>
        <v>France</v>
      </c>
      <c r="DB19" s="234">
        <f>IF($DA$2&lt;&gt;"",IF(AND(Matches!J20&lt;&gt;"",Matches!K20&lt;&gt;""),Matches!J20,0),"")</f>
        <v>0</v>
      </c>
      <c r="DC19" s="234">
        <f>IF($DA$2&lt;&gt;"",IF(AND(Matches!J20&lt;&gt;"",Matches!K20&lt;&gt;""),Matches!K20,0),"")</f>
        <v>0</v>
      </c>
      <c r="DD19" s="234" t="str">
        <f>Matches!M20</f>
        <v>Senegal</v>
      </c>
      <c r="DE19" s="234" t="str">
        <f>IF(AND(Matches!J20&lt;&gt;"",Matches!K20&lt;&gt;""),IF(DB19&gt;DC19,"W",IF(DB19=DC19,"D","L")),"")</f>
        <v/>
      </c>
      <c r="DF19" s="231" t="str">
        <f t="shared" si="0"/>
        <v/>
      </c>
      <c r="DI19" s="242"/>
      <c r="DQ19" s="238" t="s">
        <v>69</v>
      </c>
      <c r="DR19" s="239"/>
      <c r="DS19" s="240" t="str">
        <f t="shared" si="16"/>
        <v>USA</v>
      </c>
      <c r="DT19" s="241" t="s">
        <v>646</v>
      </c>
      <c r="DU19" s="240"/>
      <c r="DV19" s="233">
        <v>13</v>
      </c>
      <c r="DW19" s="242">
        <v>-6</v>
      </c>
      <c r="DX19" s="230"/>
      <c r="DY19" s="243">
        <v>13</v>
      </c>
      <c r="DZ19" s="244">
        <f t="shared" si="14"/>
        <v>46188.75</v>
      </c>
      <c r="EA19" s="245">
        <v>46188.75</v>
      </c>
      <c r="EB19" s="246">
        <f t="shared" si="15"/>
        <v>46188.75</v>
      </c>
      <c r="EC19" s="245"/>
      <c r="ED19" s="233">
        <f>SUM(Matches!S17:S20)</f>
        <v>10</v>
      </c>
      <c r="EE19" s="233" t="str">
        <f>INDEX(Language!$A$1:$K$177,MATCH(Setup!B20,Language!$B$1:$B$177,0),MATCH(Setup!$C$5,Language!$A$1:$J$1,0))</f>
        <v>USA</v>
      </c>
    </row>
    <row r="20" spans="1:135" ht="13.5" customHeight="1" x14ac:dyDescent="0.25">
      <c r="A20" s="230">
        <f>Setup!F18+100</f>
        <v>183</v>
      </c>
      <c r="B20" s="231">
        <f>VLOOKUP(C20,CX$18:CY$22,2,FALSE)</f>
        <v>4</v>
      </c>
      <c r="C20" s="232" t="str">
        <f t="shared" si="33"/>
        <v>Haiti</v>
      </c>
      <c r="D20" s="231">
        <f>SUMPRODUCT((DA$3:DA$105=C20)*(DE$3:DE$105="W"))+SUMPRODUCT((DD$3:DD$105=C20)*(DF$3:DF$105="W"))</f>
        <v>0</v>
      </c>
      <c r="E20" s="231">
        <f>SUMPRODUCT((DA$3:DA$105=C20)*(DE$3:DE$105="D"))+SUMPRODUCT((DD$3:DD$105=C20)*(DF$3:DF$105="D"))</f>
        <v>0</v>
      </c>
      <c r="F20" s="231">
        <f>SUMPRODUCT((DA$3:DA$105=C20)*(DE$3:DE$105="L"))+SUMPRODUCT((DD$3:DD$105=C20)*(DF$3:DF$105="L"))</f>
        <v>0</v>
      </c>
      <c r="G20" s="231">
        <f>SUMIF(DA3:DA123,C20,DB3:DB123)+SUMIF(DD3:DD123,C20,DC3:DC123)</f>
        <v>0</v>
      </c>
      <c r="H20" s="231">
        <f>SUMIF(DD3:DD123,C20,DB3:DB123)+SUMIF(DA3:DA123,C20,DC3:DC123)</f>
        <v>0</v>
      </c>
      <c r="I20" s="231">
        <f t="shared" si="29"/>
        <v>1000</v>
      </c>
      <c r="J20" s="231">
        <f t="shared" si="30"/>
        <v>0</v>
      </c>
      <c r="K20" s="231">
        <f>IF(Setup!G18&lt;&gt;"",Setup!G18,-A20)</f>
        <v>-183</v>
      </c>
      <c r="L20" s="231">
        <f>IF(COUNTIF(J18:J22,4)&lt;&gt;4,RANK(J20,J18:J22),J99)</f>
        <v>1</v>
      </c>
      <c r="N20" s="231">
        <f>SUMPRODUCT((L18:L21=L20)*(K18:K21&lt;K20))+L20</f>
        <v>1</v>
      </c>
      <c r="O20" s="232" t="str">
        <f>INDEX(C18:C22,MATCH(3,N18:N22,0),0)</f>
        <v>Morocco</v>
      </c>
      <c r="P20" s="231">
        <f>INDEX(L18:L22,MATCH(O20,C18:C22,0),0)</f>
        <v>1</v>
      </c>
      <c r="Q20" s="231" t="str">
        <f>IF(AND(Q19&lt;&gt;"",P20=1),O20,"")</f>
        <v>Morocco</v>
      </c>
      <c r="R20" s="231" t="str">
        <f>IF(AND(R19&lt;&gt;"",P21=2),O21,"")</f>
        <v/>
      </c>
      <c r="S20" s="231" t="str">
        <f>IF(AND(S19&lt;&gt;"",P22=3),O22,"")</f>
        <v/>
      </c>
      <c r="V20" s="231" t="str">
        <f t="shared" si="34"/>
        <v>Morocco</v>
      </c>
      <c r="W20" s="231">
        <f>SUMPRODUCT((DA$3:DA$105=V20)*(DD$3:DD$105=V21)*(DE$3:DE$105="W"))+SUMPRODUCT((DA$3:DA$105=V20)*(DD$3:DD$105=V22)*(DE$3:DE$105="W"))+SUMPRODUCT((DA$3:DA$105=V20)*(DD$3:DD$105=V18)*(DE$3:DE$105="W"))+SUMPRODUCT((DA$3:DA$105=V20)*(DD$3:DD$105=V19)*(DE$3:DE$105="W"))+SUMPRODUCT((DA$3:DA$105=V21)*(DD$3:DD$105=V20)*(DF$3:DF$105="W"))+SUMPRODUCT((DA$3:DA$105=V22)*(DD$3:DD$105=V20)*(DF$3:DF$105="W"))+SUMPRODUCT((DA$3:DA$105=V18)*(DD$3:DD$105=V20)*(DF$3:DF$105="W"))+SUMPRODUCT((DA$3:DA$105=V19)*(DD$3:DD$105=V20)*(DF$3:DF$105="W"))</f>
        <v>0</v>
      </c>
      <c r="X20" s="231">
        <f>SUMPRODUCT((DA$3:DA$105=V20)*(DD$3:DD$105=V21)*(DE$3:DE$105="D"))+SUMPRODUCT((DA$3:DA$105=V20)*(DD$3:DD$105=V22)*(DE$3:DE$105="D"))+SUMPRODUCT((DA$3:DA$105=V20)*(DD$3:DD$105=V18)*(DE$3:DE$105="D"))+SUMPRODUCT((DA$3:DA$105=V20)*(DD$3:DD$105=V19)*(DE$3:DE$105="D"))+SUMPRODUCT((DA$3:DA$105=V21)*(DD$3:DD$105=V20)*(DE$3:DE$105="D"))+SUMPRODUCT((DA$3:DA$105=V22)*(DD$3:DD$105=V20)*(DE$3:DE$105="D"))+SUMPRODUCT((DA$3:DA$105=V18)*(DD$3:DD$105=V20)*(DE$3:DE$105="D"))+SUMPRODUCT((DA$3:DA$105=V19)*(DD$3:DD$105=V20)*(DE$3:DE$105="D"))</f>
        <v>0</v>
      </c>
      <c r="Y20" s="231">
        <f>SUMPRODUCT((DA$3:DA$105=V20)*(DD$3:DD$105=V21)*(DE$3:DE$105="L"))+SUMPRODUCT((DA$3:DA$105=V20)*(DD$3:DD$105=V22)*(DE$3:DE$105="L"))+SUMPRODUCT((DA$3:DA$105=V20)*(DD$3:DD$105=V18)*(DE$3:DE$105="L"))+SUMPRODUCT((DA$3:DA$105=V20)*(DD$3:DD$105=V19)*(DE$3:DE$105="L"))+SUMPRODUCT((DA$3:DA$105=V21)*(DD$3:DD$105=V20)*(DF$3:DF$105="L"))+SUMPRODUCT((DA$3:DA$105=V22)*(DD$3:DD$105=V20)*(DF$3:DF$105="L"))+SUMPRODUCT((DA$3:DA$105=V18)*(DD$3:DD$105=V20)*(DF$3:DF$105="L"))+SUMPRODUCT((DA$3:DA$105=V19)*(DD$3:DD$105=V20)*(DF$3:DF$105="L"))</f>
        <v>0</v>
      </c>
      <c r="Z20" s="231">
        <f>SUMPRODUCT((DA$3:DA$105=V20)*(DD$3:DD$105=V21)*DB$3:DB$105)+SUMPRODUCT((DA$3:DA$105=V20)*(DD$3:DD$105=V22)*DB$3:DB$105)+SUMPRODUCT((DA$3:DA$105=V20)*(DD$3:DD$105=V18)*DB$3:DB$105)+SUMPRODUCT((DA$3:DA$105=V20)*(DD$3:DD$105=V19)*DB$3:DB$105)+SUMPRODUCT((DA$3:DA$105=V21)*(DD$3:DD$105=V20)*DC$3:DC$105)+SUMPRODUCT((DA$3:DA$105=V22)*(DD$3:DD$105=V20)*DC$3:DC$105)+SUMPRODUCT((DA$3:DA$105=V18)*(DD$3:DD$105=V20)*DC$3:DC$105)+SUMPRODUCT((DA$3:DA$105=V19)*(DD$3:DD$105=V20)*DC$3:DC$105)</f>
        <v>0</v>
      </c>
      <c r="AA20" s="231">
        <f>SUMPRODUCT((DA$3:DA$105=V20)*(DD$3:DD$105=V21)*DC$3:DC$105)+SUMPRODUCT((DA$3:DA$105=V20)*(DD$3:DD$105=V22)*DC$3:DC$105)+SUMPRODUCT((DA$3:DA$105=V20)*(DD$3:DD$105=V18)*DC$3:DC$105)+SUMPRODUCT((DA$3:DA$105=V20)*(DD$3:DD$105=V19)*DC$3:DC$105)+SUMPRODUCT((DA$3:DA$105=V21)*(DD$3:DD$105=V20)*DB$3:DB$105)+SUMPRODUCT((DA$3:DA$105=V22)*(DD$3:DD$105=V20)*DB$3:DB$105)+SUMPRODUCT((DA$3:DA$105=V18)*(DD$3:DD$105=V20)*DB$3:DB$105)+SUMPRODUCT((DA$3:DA$105=V19)*(DD$3:DD$105=V20)*DB$3:DB$105)</f>
        <v>0</v>
      </c>
      <c r="AB20" s="231">
        <f>Z20-AA20+1000</f>
        <v>1000</v>
      </c>
      <c r="AC20" s="231">
        <f t="shared" si="31"/>
        <v>0</v>
      </c>
      <c r="AD20" s="231">
        <f>IF(V20&lt;&gt;"",VLOOKUP(V20,C$4:I$52,7,FALSE),"")</f>
        <v>1000</v>
      </c>
      <c r="AE20" s="231">
        <f>IF(V20&lt;&gt;"",VLOOKUP(V20,C$4:I$52,5,FALSE),"")</f>
        <v>0</v>
      </c>
      <c r="AF20" s="231">
        <f>IF(V20&lt;&gt;"",VLOOKUP(V20,C$4:K$52,9,FALSE),"")</f>
        <v>-108</v>
      </c>
      <c r="AG20" s="231">
        <f t="shared" si="32"/>
        <v>0</v>
      </c>
      <c r="AH20" s="231">
        <f>IF(V20&lt;&gt;"",RANK(AG20,AG18:AG22),"")</f>
        <v>1</v>
      </c>
      <c r="AI20" s="231">
        <f>IF(V20&lt;&gt;"",SUMPRODUCT((AG18:AG22=AG20)*(AB18:AB22&gt;AB20)),"")</f>
        <v>0</v>
      </c>
      <c r="AJ20" s="231">
        <f>IF(V20&lt;&gt;"",SUMPRODUCT((AG18:AG22=AG20)*(AB18:AB22=AB20)*(Z18:Z22&gt;Z20)),"")</f>
        <v>0</v>
      </c>
      <c r="AK20" s="231">
        <f>IF(V20&lt;&gt;"",SUMPRODUCT((AG18:AG22=AG20)*(AB18:AB22=AB20)*(Z18:Z22=Z20)*(AD18:AD22&gt;AD20)),"")</f>
        <v>0</v>
      </c>
      <c r="AL20" s="231">
        <f>IF(V20&lt;&gt;"",SUMPRODUCT((AG18:AG22=AG20)*(AB18:AB22=AB20)*(Z18:Z22=Z20)*(AD18:AD22=AD20)*(AE18:AE22&gt;AE20)),"")</f>
        <v>0</v>
      </c>
      <c r="AM20" s="231">
        <f>IF(V20&lt;&gt;"",SUMPRODUCT((AG18:AG22=AG20)*(AB18:AB22=AB20)*(Z18:Z22=Z20)*(AD18:AD22=AD20)*(AE18:AE22=AE20)*(AF18:AF22&gt;AF20)),"")</f>
        <v>1</v>
      </c>
      <c r="AN20" s="231">
        <f>IF(V20&lt;&gt;"",IF(AN99&lt;&gt;"",IF(U96=3,AN99,AN99+U96),SUM(AH20:AM20)),"")</f>
        <v>2</v>
      </c>
      <c r="AO20" s="231" t="str">
        <f>IF(V20&lt;&gt;"",INDEX(V18:V22,MATCH(3,AN18:AN22,0),0),"")</f>
        <v>Scotland</v>
      </c>
      <c r="AP20" s="231" t="str">
        <f>IF(R19&lt;&gt;"",R19,"")</f>
        <v/>
      </c>
      <c r="AQ20" s="231">
        <f>SUMPRODUCT((DA$3:DA$105=AP20)*(DD$3:DD$105=AP21)*(DE$3:DE$105="W"))+SUMPRODUCT((DA$3:DA$105=AP20)*(DD$3:DD$105=AP22)*(DE$3:DE$105="W"))+SUMPRODUCT((DA$3:DA$105=AP20)*(DD$3:DD$105=AP19)*(DE$3:DE$105="W"))+SUMPRODUCT((DA$3:DA$105=AP21)*(DD$3:DD$105=AP20)*(DF$3:DF$105="W"))+SUMPRODUCT((DA$3:DA$105=AP22)*(DD$3:DD$105=AP20)*(DF$3:DF$105="W"))+SUMPRODUCT((DA$3:DA$105=AP19)*(DD$3:DD$105=AP20)*(DF$3:DF$105="W"))</f>
        <v>0</v>
      </c>
      <c r="AR20" s="231">
        <f>SUMPRODUCT((DA$3:DA$105=AP20)*(DD$3:DD$105=AP21)*(DE$3:DE$105="D"))+SUMPRODUCT((DA$3:DA$105=AP20)*(DD$3:DD$105=AP22)*(DE$3:DE$105="D"))+SUMPRODUCT((DA$3:DA$105=AP20)*(DD$3:DD$105=AP19)*(DE$3:DE$105="D"))+SUMPRODUCT((DA$3:DA$105=AP21)*(DD$3:DD$105=AP20)*(DE$3:DE$105="D"))+SUMPRODUCT((DA$3:DA$105=AP22)*(DD$3:DD$105=AP20)*(DE$3:DE$105="D"))+SUMPRODUCT((DA$3:DA$105=AP19)*(DD$3:DD$105=AP20)*(DE$3:DE$105="D"))</f>
        <v>0</v>
      </c>
      <c r="AS20" s="231">
        <f>SUMPRODUCT((DA$3:DA$105=AP20)*(DD$3:DD$105=AP21)*(DE$3:DE$105="L"))+SUMPRODUCT((DA$3:DA$105=AP20)*(DD$3:DD$105=AP22)*(DE$3:DE$105="L"))+SUMPRODUCT((DA$3:DA$105=AP20)*(DD$3:DD$105=AP19)*(DE$3:DE$105="L"))+SUMPRODUCT((DA$3:DA$105=AP21)*(DD$3:DD$105=AP20)*(DF$3:DF$105="L"))+SUMPRODUCT((DA$3:DA$105=AP22)*(DD$3:DD$105=AP20)*(DF$3:DF$105="L"))+SUMPRODUCT((DA$3:DA$105=AP19)*(DD$3:DD$105=AP20)*(DF$3:DF$105="L"))</f>
        <v>0</v>
      </c>
      <c r="AT20" s="231">
        <f>SUMPRODUCT((DA$3:DA$105=AP20)*(DD$3:DD$105=AP21)*DB$3:DB$105)+SUMPRODUCT((DA$3:DA$105=AP20)*(DD$3:DD$105=AP22)*DB$3:DB$105)+SUMPRODUCT((DA$3:DA$105=AP20)*(DD$3:DD$105=AP18)*DB$3:DB$105)+SUMPRODUCT((DA$3:DA$105=AP20)*(DD$3:DD$105=AP19)*DB$3:DB$105)+SUMPRODUCT((DA$3:DA$105=AP21)*(DD$3:DD$105=AP20)*DC$3:DC$105)+SUMPRODUCT((DA$3:DA$105=AP22)*(DD$3:DD$105=AP20)*DC$3:DC$105)+SUMPRODUCT((DA$3:DA$105=AP18)*(DD$3:DD$105=AP20)*DC$3:DC$105)+SUMPRODUCT((DA$3:DA$105=AP19)*(DD$3:DD$105=AP20)*DC$3:DC$105)</f>
        <v>0</v>
      </c>
      <c r="AU20" s="231">
        <f>SUMPRODUCT((DA$3:DA$105=AP20)*(DD$3:DD$105=AP21)*DC$3:DC$105)+SUMPRODUCT((DA$3:DA$105=AP20)*(DD$3:DD$105=AP22)*DC$3:DC$105)+SUMPRODUCT((DA$3:DA$105=AP20)*(DD$3:DD$105=AP18)*DC$3:DC$105)+SUMPRODUCT((DA$3:DA$105=AP20)*(DD$3:DD$105=AP19)*DC$3:DC$105)+SUMPRODUCT((DA$3:DA$105=AP21)*(DD$3:DD$105=AP20)*DB$3:DB$105)+SUMPRODUCT((DA$3:DA$105=AP22)*(DD$3:DD$105=AP20)*DB$3:DB$105)+SUMPRODUCT((DA$3:DA$105=AP18)*(DD$3:DD$105=AP20)*DB$3:DB$105)+SUMPRODUCT((DA$3:DA$105=AP19)*(DD$3:DD$105=AP20)*DB$3:DB$105)</f>
        <v>0</v>
      </c>
      <c r="AV20" s="231">
        <f>AT20-AU20+1000</f>
        <v>1000</v>
      </c>
      <c r="AW20" s="231" t="str">
        <f t="shared" si="35"/>
        <v/>
      </c>
      <c r="AX20" s="231" t="str">
        <f>IF(AP20&lt;&gt;"",VLOOKUP(AP20,C$4:I$52,7,FALSE),"")</f>
        <v/>
      </c>
      <c r="AY20" s="231" t="str">
        <f>IF(AP20&lt;&gt;"",VLOOKUP(AP20,C$4:I$52,5,FALSE),"")</f>
        <v/>
      </c>
      <c r="AZ20" s="231" t="str">
        <f>IF(AP20&lt;&gt;"",VLOOKUP(AP20,C$4:K$52,9,FALSE),"")</f>
        <v/>
      </c>
      <c r="BA20" s="231" t="str">
        <f t="shared" si="36"/>
        <v/>
      </c>
      <c r="BB20" s="231" t="str">
        <f>IF(AP20&lt;&gt;"",RANK(BA20,BA18:BA22),"")</f>
        <v/>
      </c>
      <c r="BC20" s="231" t="str">
        <f>IF(AP20&lt;&gt;"",SUMPRODUCT((BA18:BA22=BA20)*(AV18:AV22&gt;AV20)),"")</f>
        <v/>
      </c>
      <c r="BD20" s="231" t="str">
        <f>IF(AP20&lt;&gt;"",SUMPRODUCT((BA18:BA22=BA20)*(AV18:AV22=AV20)*(AT18:AT22&gt;AT20)),"")</f>
        <v/>
      </c>
      <c r="BE20" s="231" t="str">
        <f>IF(AP20&lt;&gt;"",SUMPRODUCT((BA18:BA22=BA20)*(AV18:AV22=AV20)*(AT18:AT22=AT20)*(AX18:AX22&gt;AX20)),"")</f>
        <v/>
      </c>
      <c r="BF20" s="231" t="str">
        <f>IF(AP20&lt;&gt;"",SUMPRODUCT((BA18:BA22=BA20)*(AV18:AV22=AV20)*(AT18:AT22=AT20)*(AX18:AX22=AX20)*(AY18:AY22&gt;AY20)),"")</f>
        <v/>
      </c>
      <c r="BG20" s="231" t="str">
        <f>IF(AP20&lt;&gt;"",SUMPRODUCT((BA18:BA22=BA20)*(AV18:AV22=AV20)*(AT18:AT22=AT20)*(AX18:AX22=AX20)*(AY18:AY22=AY20)*(AZ18:AZ22&gt;AZ20)),"")</f>
        <v/>
      </c>
      <c r="BH20" s="231" t="str">
        <f>IF(AP20&lt;&gt;"",IF(BH99&lt;&gt;"",IF(AO96=3,BH99,BH99+AO96),SUM(BB20:BG20)+1),"")</f>
        <v/>
      </c>
      <c r="BI20" s="231" t="str">
        <f>IF(AP20&lt;&gt;"",INDEX(AP19:AP22,MATCH(3,BH19:BH22,0),0),"")</f>
        <v/>
      </c>
      <c r="BJ20" s="231" t="str">
        <f>IF(S18&lt;&gt;"",S18,"")</f>
        <v/>
      </c>
      <c r="BK20" s="231">
        <f>SUMPRODUCT((DA$3:DA$105=BJ20)*(DD$3:DD$105=BJ21)*(DE$3:DE$105="W"))+SUMPRODUCT((DA$3:DA$105=BJ20)*(DD$3:DD$105=BJ22)*(DE$3:DE$105="W"))+SUMPRODUCT((DA$3:DA$105=BJ20)*(DD$3:DD$105=BJ23)*(DE$3:DE$105="W"))+SUMPRODUCT((DA$3:DA$105=BJ21)*(DD$3:DD$105=BJ20)*(DF$3:DF$105="W"))+SUMPRODUCT((DA$3:DA$105=BJ22)*(DD$3:DD$105=BJ20)*(DF$3:DF$105="W"))+SUMPRODUCT((DA$3:DA$105=BJ23)*(DD$3:DD$105=BJ20)*(DF$3:DF$105="W"))</f>
        <v>0</v>
      </c>
      <c r="BL20" s="231">
        <f>SUMPRODUCT((DA$3:DA$105=BJ20)*(DD$3:DD$105=BJ21)*(DE$3:DE$105="D"))+SUMPRODUCT((DA$3:DA$105=BJ20)*(DD$3:DD$105=BJ22)*(DE$3:DE$105="D"))+SUMPRODUCT((DA$3:DA$105=BJ20)*(DD$3:DD$105=BJ23)*(DE$3:DE$105="D"))+SUMPRODUCT((DA$3:DA$105=BJ21)*(DD$3:DD$105=BJ20)*(DE$3:DE$105="D"))+SUMPRODUCT((DA$3:DA$105=BJ22)*(DD$3:DD$105=BJ20)*(DE$3:DE$105="D"))+SUMPRODUCT((DA$3:DA$105=BJ23)*(DD$3:DD$105=BJ20)*(DE$3:DE$105="D"))</f>
        <v>0</v>
      </c>
      <c r="BM20" s="231">
        <f>SUMPRODUCT((DA$3:DA$105=BJ20)*(DD$3:DD$105=BJ21)*(DE$3:DE$105="L"))+SUMPRODUCT((DA$3:DA$105=BJ20)*(DD$3:DD$105=BJ22)*(DE$3:DE$105="L"))+SUMPRODUCT((DA$3:DA$105=BJ20)*(DD$3:DD$105=BJ23)*(DE$3:DE$105="L"))+SUMPRODUCT((DA$3:DA$105=BJ21)*(DD$3:DD$105=BJ20)*(DF$3:DF$105="L"))+SUMPRODUCT((DA$3:DA$105=BJ22)*(DD$3:DD$105=BJ20)*(DF$3:DF$105="L"))+SUMPRODUCT((DA$3:DA$105=BJ23)*(DD$3:DD$105=BJ20)*(DF$3:DF$105="L"))</f>
        <v>0</v>
      </c>
      <c r="BN20" s="231">
        <f>SUMPRODUCT((DA$3:DA$105=BJ20)*(DD$3:DD$105=BJ21)*DB$3:DB$105)+SUMPRODUCT((DA$3:DA$105=BJ20)*(DD$3:DD$105=BJ22)*DB$3:DB$105)+SUMPRODUCT((DA$3:DA$105=BJ20)*(DD$3:DD$105=BJ18)*DB$3:DB$105)+SUMPRODUCT((DA$3:DA$105=BJ20)*(DD$3:DD$105=BJ19)*DB$3:DB$105)+SUMPRODUCT((DA$3:DA$105=BJ21)*(DD$3:DD$105=BJ20)*DC$3:DC$105)+SUMPRODUCT((DA$3:DA$105=BJ22)*(DD$3:DD$105=BJ20)*DC$3:DC$105)+SUMPRODUCT((DA$3:DA$105=BJ18)*(DD$3:DD$105=BJ20)*DC$3:DC$105)+SUMPRODUCT((DA$3:DA$105=BJ19)*(DD$3:DD$105=BJ20)*DC$3:DC$105)</f>
        <v>0</v>
      </c>
      <c r="BO20" s="231">
        <f>SUMPRODUCT((DA$3:DA$105=BJ20)*(DD$3:DD$105=BJ21)*DC$3:DC$105)+SUMPRODUCT((DA$3:DA$105=BJ20)*(DD$3:DD$105=BJ22)*DC$3:DC$105)+SUMPRODUCT((DA$3:DA$105=BJ20)*(DD$3:DD$105=BJ18)*DC$3:DC$105)+SUMPRODUCT((DA$3:DA$105=BJ20)*(DD$3:DD$105=BJ19)*DC$3:DC$105)+SUMPRODUCT((DA$3:DA$105=BJ21)*(DD$3:DD$105=BJ20)*DB$3:DB$105)+SUMPRODUCT((DA$3:DA$105=BJ22)*(DD$3:DD$105=BJ20)*DB$3:DB$105)+SUMPRODUCT((DA$3:DA$105=BJ18)*(DD$3:DD$105=BJ20)*DB$3:DB$105)+SUMPRODUCT((DA$3:DA$105=BJ19)*(DD$3:DD$105=BJ20)*DB$3:DB$105)</f>
        <v>0</v>
      </c>
      <c r="BP20" s="231">
        <f>BN20-BO20+1000</f>
        <v>1000</v>
      </c>
      <c r="BQ20" s="231" t="str">
        <f t="shared" ref="BQ20:BQ21" si="37">IF(BJ20&lt;&gt;"",BK20*3+BL20*1,"")</f>
        <v/>
      </c>
      <c r="BR20" s="231" t="str">
        <f>IF(BJ20&lt;&gt;"",VLOOKUP(BJ20,C$4:I$52,7,FALSE),"")</f>
        <v/>
      </c>
      <c r="BS20" s="231" t="str">
        <f>IF(BJ20&lt;&gt;"",VLOOKUP(BJ20,C$4:I$52,5,FALSE),"")</f>
        <v/>
      </c>
      <c r="BT20" s="231" t="str">
        <f>IF(BJ20&lt;&gt;"",VLOOKUP(BJ20,C$4:K$52,9,FALSE),"")</f>
        <v/>
      </c>
      <c r="BU20" s="231" t="str">
        <f t="shared" ref="BU20:BU21" si="38">BQ20</f>
        <v/>
      </c>
      <c r="BV20" s="231" t="str">
        <f>IF(BJ20&lt;&gt;"",RANK(BU20,BU18:BU22),"")</f>
        <v/>
      </c>
      <c r="BW20" s="231" t="str">
        <f>IF(BJ20&lt;&gt;"",SUMPRODUCT((BU18:BU22=BU20)*(BP18:BP22&gt;BP20)),"")</f>
        <v/>
      </c>
      <c r="BX20" s="231" t="str">
        <f>IF(BJ20&lt;&gt;"",SUMPRODUCT((BU18:BU22=BU20)*(BP18:BP22=BP20)*(BN18:BN22&gt;BN20)),"")</f>
        <v/>
      </c>
      <c r="BY20" s="231" t="str">
        <f>IF(BJ20&lt;&gt;"",SUMPRODUCT((BU18:BU22=BU20)*(BP18:BP22=BP20)*(BN18:BN22=BN20)*(BR18:BR22&gt;BR20)),"")</f>
        <v/>
      </c>
      <c r="BZ20" s="231" t="str">
        <f>IF(BJ20&lt;&gt;"",SUMPRODUCT((BU18:BU22=BU20)*(BP18:BP22=BP20)*(BN18:BN22=BN20)*(BR18:BR22=BR20)*(BS18:BS22&gt;BS20)),"")</f>
        <v/>
      </c>
      <c r="CA20" s="231" t="str">
        <f>IF(BJ20&lt;&gt;"",SUMPRODUCT((BU18:BU22=BU20)*(BP18:BP22=BP20)*(BN18:BN22=BN20)*(BR18:BR22=BR20)*(BS18:BS22=BS20)*(BT18:BT22&gt;BT20)),"")</f>
        <v/>
      </c>
      <c r="CB20" s="231" t="str">
        <f>IF(BJ20&lt;&gt;"",SUM(BV20:CA20)+2,"")</f>
        <v/>
      </c>
      <c r="CC20" s="231" t="str">
        <f>IF(BJ20&lt;&gt;"",INDEX(BJ20:BJ22,MATCH(3,CB20:CB22,0),0),"")</f>
        <v/>
      </c>
      <c r="CX20" s="231" t="str">
        <f>IF(CC20&lt;&gt;"",CC20,IF(BI20&lt;&gt;"",BI20,IF(AO20&lt;&gt;"",AO20,O20)))</f>
        <v>Scotland</v>
      </c>
      <c r="CY20" s="231">
        <v>3</v>
      </c>
      <c r="CZ20" s="231">
        <v>18</v>
      </c>
      <c r="DA20" s="234" t="str">
        <f>Matches!H21</f>
        <v>Iraq</v>
      </c>
      <c r="DB20" s="234">
        <f>IF($DA$2&lt;&gt;"",IF(AND(Matches!J21&lt;&gt;"",Matches!K21&lt;&gt;""),Matches!J21,0),"")</f>
        <v>0</v>
      </c>
      <c r="DC20" s="234">
        <f>IF($DA$2&lt;&gt;"",IF(AND(Matches!J21&lt;&gt;"",Matches!K21&lt;&gt;""),Matches!K21,0),"")</f>
        <v>0</v>
      </c>
      <c r="DD20" s="234" t="str">
        <f>Matches!M21</f>
        <v>Norway</v>
      </c>
      <c r="DE20" s="234" t="str">
        <f>IF(AND(Matches!J21&lt;&gt;"",Matches!K21&lt;&gt;""),IF(DB20&gt;DC20,"W",IF(DB20=DC20,"D","L")),"")</f>
        <v/>
      </c>
      <c r="DF20" s="231" t="str">
        <f t="shared" si="0"/>
        <v/>
      </c>
      <c r="DI20" s="242"/>
      <c r="DQ20" s="238"/>
      <c r="DR20" s="239"/>
      <c r="DS20" s="240" t="str">
        <f t="shared" si="16"/>
        <v>Paraguay</v>
      </c>
      <c r="DT20" s="241" t="s">
        <v>647</v>
      </c>
      <c r="DU20" s="240"/>
      <c r="DV20" s="233">
        <v>14</v>
      </c>
      <c r="DW20" s="242">
        <v>-5.5</v>
      </c>
      <c r="DX20" s="230"/>
      <c r="DY20" s="243">
        <v>14</v>
      </c>
      <c r="DZ20" s="244">
        <f t="shared" si="14"/>
        <v>46188.5</v>
      </c>
      <c r="EA20" s="245">
        <v>46188.5</v>
      </c>
      <c r="EB20" s="246">
        <f t="shared" si="15"/>
        <v>46188.5</v>
      </c>
      <c r="EC20" s="245"/>
      <c r="EE20" s="233" t="str">
        <f>INDEX(Language!$A$1:$K$177,MATCH(Setup!B21,Language!$B$1:$B$177,0),MATCH(Setup!$C$5,Language!$A$1:$J$1,0))</f>
        <v>Paraguay</v>
      </c>
    </row>
    <row r="21" spans="1:135" ht="13.5" customHeight="1" x14ac:dyDescent="0.25">
      <c r="A21" s="230">
        <f>Setup!F19+100</f>
        <v>138</v>
      </c>
      <c r="B21" s="231">
        <f>VLOOKUP(C21,CX$18:CY$22,2,FALSE)</f>
        <v>3</v>
      </c>
      <c r="C21" s="232" t="str">
        <f t="shared" si="33"/>
        <v>Scotland</v>
      </c>
      <c r="D21" s="231">
        <f>SUMPRODUCT((DA$3:DA$105=C21)*(DE$3:DE$105="W"))+SUMPRODUCT((DD$3:DD$105=C21)*(DF$3:DF$105="W"))</f>
        <v>0</v>
      </c>
      <c r="E21" s="231">
        <f>SUMPRODUCT((DA$3:DA$105=C21)*(DE$3:DE$105="D"))+SUMPRODUCT((DD$3:DD$105=C21)*(DF$3:DF$105="D"))</f>
        <v>0</v>
      </c>
      <c r="F21" s="231">
        <f>SUMPRODUCT((DA$3:DA$105=C21)*(DE$3:DE$105="L"))+SUMPRODUCT((DD$3:DD$105=C21)*(DF$3:DF$105="L"))</f>
        <v>0</v>
      </c>
      <c r="G21" s="231">
        <f>SUMIF(DA3:DA123,C21,DB3:DB123)+SUMIF(DD3:DD123,C21,DC3:DC123)</f>
        <v>0</v>
      </c>
      <c r="H21" s="231">
        <f>SUMIF(DD3:DD123,C21,DB3:DB123)+SUMIF(DA3:DA123,C21,DC3:DC123)</f>
        <v>0</v>
      </c>
      <c r="I21" s="231">
        <f t="shared" si="29"/>
        <v>1000</v>
      </c>
      <c r="J21" s="231">
        <f t="shared" si="30"/>
        <v>0</v>
      </c>
      <c r="K21" s="231">
        <f>IF(Setup!G19&lt;&gt;"",Setup!G19,-A21)</f>
        <v>-138</v>
      </c>
      <c r="L21" s="231">
        <f>IF(COUNTIF(J18:J22,4)&lt;&gt;4,RANK(J21,J18:J22),J100)</f>
        <v>1</v>
      </c>
      <c r="N21" s="231">
        <f>SUMPRODUCT((L18:L21=L21)*(K18:K21&lt;K21))+L21</f>
        <v>2</v>
      </c>
      <c r="O21" s="232" t="str">
        <f>INDEX(C18:C22,MATCH(4,N18:N22,0),0)</f>
        <v>Brazil</v>
      </c>
      <c r="P21" s="231">
        <f>INDEX(L18:L22,MATCH(O21,C18:C22,0),0)</f>
        <v>1</v>
      </c>
      <c r="Q21" s="231" t="str">
        <f>IF(AND(Q20&lt;&gt;"",P21=1),O21,"")</f>
        <v>Brazil</v>
      </c>
      <c r="R21" s="231" t="str">
        <f>IF(AND(R20&lt;&gt;"",P22=2),O22,"")</f>
        <v/>
      </c>
      <c r="V21" s="231" t="str">
        <f t="shared" si="34"/>
        <v>Brazil</v>
      </c>
      <c r="W21" s="231">
        <f>SUMPRODUCT((DA$3:DA$105=V21)*(DD$3:DD$105=V22)*(DE$3:DE$105="W"))+SUMPRODUCT((DA$3:DA$105=V21)*(DD$3:DD$105=V18)*(DE$3:DE$105="W"))+SUMPRODUCT((DA$3:DA$105=V21)*(DD$3:DD$105=V19)*(DE$3:DE$105="W"))+SUMPRODUCT((DA$3:DA$105=V21)*(DD$3:DD$105=V20)*(DE$3:DE$105="W"))+SUMPRODUCT((DA$3:DA$105=V22)*(DD$3:DD$105=V21)*(DF$3:DF$105="W"))+SUMPRODUCT((DA$3:DA$105=V18)*(DD$3:DD$105=V21)*(DF$3:DF$105="W"))+SUMPRODUCT((DA$3:DA$105=V19)*(DD$3:DD$105=V21)*(DF$3:DF$105="W"))+SUMPRODUCT((DA$3:DA$105=V20)*(DD$3:DD$105=V21)*(DF$3:DF$105="W"))</f>
        <v>0</v>
      </c>
      <c r="X21" s="231">
        <f>SUMPRODUCT((DA$3:DA$105=V21)*(DD$3:DD$105=V22)*(DE$3:DE$105="D"))+SUMPRODUCT((DA$3:DA$105=V21)*(DD$3:DD$105=V18)*(DE$3:DE$105="D"))+SUMPRODUCT((DA$3:DA$105=V21)*(DD$3:DD$105=V19)*(DE$3:DE$105="D"))+SUMPRODUCT((DA$3:DA$105=V21)*(DD$3:DD$105=V20)*(DE$3:DE$105="D"))+SUMPRODUCT((DA$3:DA$105=V22)*(DD$3:DD$105=V21)*(DE$3:DE$105="D"))+SUMPRODUCT((DA$3:DA$105=V18)*(DD$3:DD$105=V21)*(DE$3:DE$105="D"))+SUMPRODUCT((DA$3:DA$105=V19)*(DD$3:DD$105=V21)*(DE$3:DE$105="D"))+SUMPRODUCT((DA$3:DA$105=V20)*(DD$3:DD$105=V21)*(DE$3:DE$105="D"))</f>
        <v>0</v>
      </c>
      <c r="Y21" s="231">
        <f>SUMPRODUCT((DA$3:DA$105=V21)*(DD$3:DD$105=V22)*(DE$3:DE$105="L"))+SUMPRODUCT((DA$3:DA$105=V21)*(DD$3:DD$105=V18)*(DE$3:DE$105="L"))+SUMPRODUCT((DA$3:DA$105=V21)*(DD$3:DD$105=V19)*(DE$3:DE$105="L"))+SUMPRODUCT((DA$3:DA$105=V21)*(DD$3:DD$105=V20)*(DE$3:DE$105="L"))+SUMPRODUCT((DA$3:DA$105=V22)*(DD$3:DD$105=V21)*(DF$3:DF$105="L"))+SUMPRODUCT((DA$3:DA$105=V18)*(DD$3:DD$105=V21)*(DF$3:DF$105="L"))+SUMPRODUCT((DA$3:DA$105=V19)*(DD$3:DD$105=V21)*(DF$3:DF$105="L"))+SUMPRODUCT((DA$3:DA$105=V20)*(DD$3:DD$105=V21)*(DF$3:DF$105="L"))</f>
        <v>0</v>
      </c>
      <c r="Z21" s="231">
        <f>SUMPRODUCT((DA$3:DA$105=V21)*(DD$3:DD$105=V22)*DB$3:DB$105)+SUMPRODUCT((DA$3:DA$105=V21)*(DD$3:DD$105=V18)*DB$3:DB$105)+SUMPRODUCT((DA$3:DA$105=V21)*(DD$3:DD$105=V19)*DB$3:DB$105)+SUMPRODUCT((DA$3:DA$105=V21)*(DD$3:DD$105=V20)*DB$3:DB$105)+SUMPRODUCT((DA$3:DA$105=V22)*(DD$3:DD$105=V21)*DC$3:DC$105)+SUMPRODUCT((DA$3:DA$105=V18)*(DD$3:DD$105=V21)*DC$3:DC$105)+SUMPRODUCT((DA$3:DA$105=V19)*(DD$3:DD$105=V21)*DC$3:DC$105)+SUMPRODUCT((DA$3:DA$105=V20)*(DD$3:DD$105=V21)*DC$3:DC$105)</f>
        <v>0</v>
      </c>
      <c r="AA21" s="231">
        <f>SUMPRODUCT((DA$3:DA$105=V21)*(DD$3:DD$105=V22)*DC$3:DC$105)+SUMPRODUCT((DA$3:DA$105=V21)*(DD$3:DD$105=V18)*DC$3:DC$105)+SUMPRODUCT((DA$3:DA$105=V21)*(DD$3:DD$105=V19)*DC$3:DC$105)+SUMPRODUCT((DA$3:DA$105=V21)*(DD$3:DD$105=V20)*DC$3:DC$105)+SUMPRODUCT((DA$3:DA$105=V22)*(DD$3:DD$105=V21)*DB$3:DB$105)+SUMPRODUCT((DA$3:DA$105=V18)*(DD$3:DD$105=V21)*DB$3:DB$105)+SUMPRODUCT((DA$3:DA$105=V19)*(DD$3:DD$105=V21)*DB$3:DB$105)+SUMPRODUCT((DA$3:DA$105=V20)*(DD$3:DD$105=V21)*DB$3:DB$105)</f>
        <v>0</v>
      </c>
      <c r="AB21" s="231">
        <f>Z21-AA21+1000</f>
        <v>1000</v>
      </c>
      <c r="AC21" s="231">
        <f t="shared" si="31"/>
        <v>0</v>
      </c>
      <c r="AD21" s="231">
        <f>IF(V21&lt;&gt;"",VLOOKUP(V21,C$4:I$52,7,FALSE),"")</f>
        <v>1000</v>
      </c>
      <c r="AE21" s="231">
        <f>IF(V21&lt;&gt;"",VLOOKUP(V21,C$4:I$52,5,FALSE),"")</f>
        <v>0</v>
      </c>
      <c r="AF21" s="231">
        <f>IF(V21&lt;&gt;"",VLOOKUP(V21,C$4:K$52,9,FALSE),"")</f>
        <v>-105</v>
      </c>
      <c r="AG21" s="231">
        <f t="shared" si="32"/>
        <v>0</v>
      </c>
      <c r="AH21" s="231">
        <f>IF(V21&lt;&gt;"",RANK(AG21,AG18:AG22),"")</f>
        <v>1</v>
      </c>
      <c r="AI21" s="231">
        <f>IF(V21&lt;&gt;"",SUMPRODUCT((AG18:AG22=AG21)*(AB18:AB22&gt;AB21)),"")</f>
        <v>0</v>
      </c>
      <c r="AJ21" s="231">
        <f>IF(V21&lt;&gt;"",SUMPRODUCT((AG18:AG22=AG21)*(AB18:AB22=AB21)*(Z18:Z22&gt;Z21)),"")</f>
        <v>0</v>
      </c>
      <c r="AK21" s="231">
        <f>IF(V21&lt;&gt;"",SUMPRODUCT((AG18:AG22=AG21)*(AB18:AB22=AB21)*(Z18:Z22=Z21)*(AD18:AD22&gt;AD21)),"")</f>
        <v>0</v>
      </c>
      <c r="AL21" s="231">
        <f>IF(V21&lt;&gt;"",SUMPRODUCT((AG18:AG22=AG21)*(AB18:AB22=AB21)*(Z18:Z22=Z21)*(AD18:AD22=AD21)*(AE18:AE22&gt;AE21)),"")</f>
        <v>0</v>
      </c>
      <c r="AM21" s="231">
        <f>IF(V21&lt;&gt;"",SUMPRODUCT((AG18:AG22=AG21)*(AB18:AB22=AB21)*(Z18:Z22=Z21)*(AD18:AD22=AD21)*(AE18:AE22=AE21)*(AF18:AF22&gt;AF21)),"")</f>
        <v>0</v>
      </c>
      <c r="AN21" s="231">
        <f>IF(V21&lt;&gt;"",IF(AN100&lt;&gt;"",IF(U96=3,AN100,AN100+U96),SUM(AH21:AM21)),"")</f>
        <v>1</v>
      </c>
      <c r="AO21" s="231" t="str">
        <f>IF(V21&lt;&gt;"",INDEX(V18:V22,MATCH(4,AN18:AN22,0),0),"")</f>
        <v>Haiti</v>
      </c>
      <c r="AP21" s="231" t="str">
        <f>IF(R20&lt;&gt;"",R20,"")</f>
        <v/>
      </c>
      <c r="AQ21" s="231" t="str">
        <f>IF(AP21&lt;&gt;"",SUMPRODUCT((DA$3:DA$105=AP21)*(DD$3:DD$105=AP22)*(DE$3:DE$105="W"))+SUMPRODUCT((DA$3:DA$105=AP21)*(DD$3:DD$105=AP19)*(DE$3:DE$105="W"))+SUMPRODUCT((DA$3:DA$105=AP21)*(DD$3:DD$105=AP20)*(DE$3:DE$105="W"))+SUMPRODUCT((DA$3:DA$105=AP22)*(DD$3:DD$105=AP21)*(DF$3:DF$105="W"))+SUMPRODUCT((DA$3:DA$105=AP19)*(DD$3:DD$105=AP21)*(DF$3:DF$105="W"))+SUMPRODUCT((DA$3:DA$105=AP20)*(DD$3:DD$105=AP21)*(DF$3:DF$105="W")),"")</f>
        <v/>
      </c>
      <c r="AR21" s="231" t="str">
        <f>IF(AP21&lt;&gt;"",SUMPRODUCT((DA$3:DA$105=AP21)*(DD$3:DD$105=AP22)*(DE$3:DE$105="D"))+SUMPRODUCT((DA$3:DA$105=AP21)*(DD$3:DD$105=AP19)*(DE$3:DE$105="D"))+SUMPRODUCT((DA$3:DA$105=AP21)*(DD$3:DD$105=AP20)*(DE$3:DE$105="D"))+SUMPRODUCT((DA$3:DA$105=AP22)*(DD$3:DD$105=AP21)*(DE$3:DE$105="D"))+SUMPRODUCT((DA$3:DA$105=AP19)*(DD$3:DD$105=AP21)*(DE$3:DE$105="D"))+SUMPRODUCT((DA$3:DA$105=AP20)*(DD$3:DD$105=AP21)*(DE$3:DE$105="D")),"")</f>
        <v/>
      </c>
      <c r="AS21" s="231" t="str">
        <f>IF(AP21&lt;&gt;"",SUMPRODUCT((DA$3:DA$105=AP21)*(DD$3:DD$105=AP22)*(DE$3:DE$105="L"))+SUMPRODUCT((DA$3:DA$105=AP21)*(DD$3:DD$105=AP19)*(DE$3:DE$105="L"))+SUMPRODUCT((DA$3:DA$105=AP21)*(DD$3:DD$105=AP20)*(DE$3:DE$105="L"))+SUMPRODUCT((DA$3:DA$105=AP22)*(DD$3:DD$105=AP21)*(DF$3:DF$105="L"))+SUMPRODUCT((DA$3:DA$105=AP19)*(DD$3:DD$105=AP21)*(DF$3:DF$105="L"))+SUMPRODUCT((DA$3:DA$105=AP20)*(DD$3:DD$105=AP21)*(DF$3:DF$105="L")),"")</f>
        <v/>
      </c>
      <c r="AT21" s="231">
        <f>SUMPRODUCT((DA$3:DA$105=AP21)*(DD$3:DD$105=AP22)*DB$3:DB$105)+SUMPRODUCT((DA$3:DA$105=AP21)*(DD$3:DD$105=AP18)*DB$3:DB$105)+SUMPRODUCT((DA$3:DA$105=AP21)*(DD$3:DD$105=AP19)*DB$3:DB$105)+SUMPRODUCT((DA$3:DA$105=AP21)*(DD$3:DD$105=AP20)*DB$3:DB$105)+SUMPRODUCT((DA$3:DA$105=AP22)*(DD$3:DD$105=AP21)*DC$3:DC$105)+SUMPRODUCT((DA$3:DA$105=AP18)*(DD$3:DD$105=AP21)*DC$3:DC$105)+SUMPRODUCT((DA$3:DA$105=AP19)*(DD$3:DD$105=AP21)*DC$3:DC$105)+SUMPRODUCT((DA$3:DA$105=AP20)*(DD$3:DD$105=AP21)*DC$3:DC$105)</f>
        <v>0</v>
      </c>
      <c r="AU21" s="231">
        <f>SUMPRODUCT((DA$3:DA$105=AP21)*(DD$3:DD$105=AP22)*DC$3:DC$105)+SUMPRODUCT((DA$3:DA$105=AP21)*(DD$3:DD$105=AP18)*DC$3:DC$105)+SUMPRODUCT((DA$3:DA$105=AP21)*(DD$3:DD$105=AP19)*DC$3:DC$105)+SUMPRODUCT((DA$3:DA$105=AP21)*(DD$3:DD$105=AP20)*DC$3:DC$105)+SUMPRODUCT((DA$3:DA$105=AP22)*(DD$3:DD$105=AP21)*DB$3:DB$105)+SUMPRODUCT((DA$3:DA$105=AP18)*(DD$3:DD$105=AP21)*DB$3:DB$105)+SUMPRODUCT((DA$3:DA$105=AP19)*(DD$3:DD$105=AP21)*DB$3:DB$105)+SUMPRODUCT((DA$3:DA$105=AP20)*(DD$3:DD$105=AP21)*DB$3:DB$105)</f>
        <v>0</v>
      </c>
      <c r="AV21" s="231">
        <f>AT21-AU21+1000</f>
        <v>1000</v>
      </c>
      <c r="AW21" s="231" t="str">
        <f t="shared" si="35"/>
        <v/>
      </c>
      <c r="AX21" s="231" t="str">
        <f>IF(AP21&lt;&gt;"",VLOOKUP(AP21,C$4:I$52,7,FALSE),"")</f>
        <v/>
      </c>
      <c r="AY21" s="231" t="str">
        <f>IF(AP21&lt;&gt;"",VLOOKUP(AP21,C$4:I$52,5,FALSE),"")</f>
        <v/>
      </c>
      <c r="AZ21" s="231" t="str">
        <f>IF(AP21&lt;&gt;"",VLOOKUP(AP21,C$4:K$52,9,FALSE),"")</f>
        <v/>
      </c>
      <c r="BA21" s="231" t="str">
        <f t="shared" si="36"/>
        <v/>
      </c>
      <c r="BB21" s="231" t="str">
        <f>IF(AP21&lt;&gt;"",RANK(BA21,BA18:BA22),"")</f>
        <v/>
      </c>
      <c r="BC21" s="231" t="str">
        <f>IF(AP21&lt;&gt;"",SUMPRODUCT((BA18:BA22=BA21)*(AV18:AV22&gt;AV21)),"")</f>
        <v/>
      </c>
      <c r="BD21" s="231" t="str">
        <f>IF(AP21&lt;&gt;"",SUMPRODUCT((BA18:BA22=BA21)*(AV18:AV22=AV21)*(AT18:AT22&gt;AT21)),"")</f>
        <v/>
      </c>
      <c r="BE21" s="231" t="str">
        <f>IF(AP21&lt;&gt;"",SUMPRODUCT((BA18:BA22=BA21)*(AV18:AV22=AV21)*(AT18:AT22=AT21)*(AX18:AX22&gt;AX21)),"")</f>
        <v/>
      </c>
      <c r="BF21" s="231" t="str">
        <f>IF(AP21&lt;&gt;"",SUMPRODUCT((BA18:BA22=BA21)*(AV18:AV22=AV21)*(AT18:AT22=AT21)*(AX18:AX22=AX21)*(AY18:AY22&gt;AY21)),"")</f>
        <v/>
      </c>
      <c r="BG21" s="231" t="str">
        <f>IF(AP21&lt;&gt;"",SUMPRODUCT((BA18:BA22=BA21)*(AV18:AV22=AV21)*(AT18:AT22=AT21)*(AX18:AX22=AX21)*(AY18:AY22=AY21)*(AZ18:AZ22&gt;AZ21)),"")</f>
        <v/>
      </c>
      <c r="BH21" s="231" t="str">
        <f>IF(AP21&lt;&gt;"",IF(BH100&lt;&gt;"",IF(AO96=3,BH100,BH100+AO96),SUM(BB21:BG21)+1),"")</f>
        <v/>
      </c>
      <c r="BI21" s="231" t="str">
        <f>IF(AP21&lt;&gt;"",INDEX(AP19:AP22,MATCH(4,BH19:BH22,0),0),"")</f>
        <v/>
      </c>
      <c r="BJ21" s="231" t="str">
        <f>IF(S19&lt;&gt;"",S19,"")</f>
        <v/>
      </c>
      <c r="BK21" s="231">
        <f>SUMPRODUCT((DA$3:DA$105=BJ21)*(DD$3:DD$105=BJ22)*(DE$3:DE$105="W"))+SUMPRODUCT((DA$3:DA$105=BJ21)*(DD$3:DD$105=BJ23)*(DE$3:DE$105="W"))+SUMPRODUCT((DA$3:DA$105=BJ21)*(DD$3:DD$105=BJ20)*(DE$3:DE$105="W"))+SUMPRODUCT((DA$3:DA$105=BJ22)*(DD$3:DD$105=BJ21)*(DF$3:DF$105="W"))+SUMPRODUCT((DA$3:DA$105=BJ23)*(DD$3:DD$105=BJ21)*(DF$3:DF$105="W"))+SUMPRODUCT((DA$3:DA$105=BJ20)*(DD$3:DD$105=BJ21)*(DF$3:DF$105="W"))</f>
        <v>0</v>
      </c>
      <c r="BL21" s="231">
        <f>SUMPRODUCT((DA$3:DA$105=BJ21)*(DD$3:DD$105=BJ22)*(DE$3:DE$105="D"))+SUMPRODUCT((DA$3:DA$105=BJ21)*(DD$3:DD$105=BJ23)*(DE$3:DE$105="D"))+SUMPRODUCT((DA$3:DA$105=BJ21)*(DD$3:DD$105=BJ20)*(DE$3:DE$105="D"))+SUMPRODUCT((DA$3:DA$105=BJ22)*(DD$3:DD$105=BJ21)*(DE$3:DE$105="D"))+SUMPRODUCT((DA$3:DA$105=BJ23)*(DD$3:DD$105=BJ21)*(DE$3:DE$105="D"))+SUMPRODUCT((DA$3:DA$105=BJ20)*(DD$3:DD$105=BJ21)*(DE$3:DE$105="D"))</f>
        <v>0</v>
      </c>
      <c r="BM21" s="231">
        <f>SUMPRODUCT((DA$3:DA$105=BJ21)*(DD$3:DD$105=BJ22)*(DE$3:DE$105="L"))+SUMPRODUCT((DA$3:DA$105=BJ21)*(DD$3:DD$105=BJ23)*(DE$3:DE$105="L"))+SUMPRODUCT((DA$3:DA$105=BJ21)*(DD$3:DD$105=BJ20)*(DE$3:DE$105="L"))+SUMPRODUCT((DA$3:DA$105=BJ22)*(DD$3:DD$105=BJ21)*(DF$3:DF$105="L"))+SUMPRODUCT((DA$3:DA$105=BJ23)*(DD$3:DD$105=BJ21)*(DF$3:DF$105="L"))+SUMPRODUCT((DA$3:DA$105=BJ20)*(DD$3:DD$105=BJ21)*(DF$3:DF$105="L"))</f>
        <v>0</v>
      </c>
      <c r="BN21" s="231">
        <f>SUMPRODUCT((DA$3:DA$105=BJ21)*(DD$3:DD$105=BJ22)*DB$3:DB$105)+SUMPRODUCT((DA$3:DA$105=BJ21)*(DD$3:DD$105=BJ18)*DB$3:DB$105)+SUMPRODUCT((DA$3:DA$105=BJ21)*(DD$3:DD$105=BJ19)*DB$3:DB$105)+SUMPRODUCT((DA$3:DA$105=BJ21)*(DD$3:DD$105=BJ20)*DB$3:DB$105)+SUMPRODUCT((DA$3:DA$105=BJ22)*(DD$3:DD$105=BJ21)*DC$3:DC$105)+SUMPRODUCT((DA$3:DA$105=BJ18)*(DD$3:DD$105=BJ21)*DC$3:DC$105)+SUMPRODUCT((DA$3:DA$105=BJ19)*(DD$3:DD$105=BJ21)*DC$3:DC$105)+SUMPRODUCT((DA$3:DA$105=BJ20)*(DD$3:DD$105=BJ21)*DC$3:DC$105)</f>
        <v>0</v>
      </c>
      <c r="BO21" s="231">
        <f>SUMPRODUCT((DA$3:DA$105=BJ21)*(DD$3:DD$105=BJ22)*DC$3:DC$105)+SUMPRODUCT((DA$3:DA$105=BJ21)*(DD$3:DD$105=BJ18)*DC$3:DC$105)+SUMPRODUCT((DA$3:DA$105=BJ21)*(DD$3:DD$105=BJ19)*DC$3:DC$105)+SUMPRODUCT((DA$3:DA$105=BJ21)*(DD$3:DD$105=BJ20)*DC$3:DC$105)+SUMPRODUCT((DA$3:DA$105=BJ22)*(DD$3:DD$105=BJ21)*DB$3:DB$105)+SUMPRODUCT((DA$3:DA$105=BJ18)*(DD$3:DD$105=BJ21)*DB$3:DB$105)+SUMPRODUCT((DA$3:DA$105=BJ19)*(DD$3:DD$105=BJ21)*DB$3:DB$105)+SUMPRODUCT((DA$3:DA$105=BJ20)*(DD$3:DD$105=BJ21)*DB$3:DB$105)</f>
        <v>0</v>
      </c>
      <c r="BP21" s="231">
        <f>BN21-BO21+1000</f>
        <v>1000</v>
      </c>
      <c r="BQ21" s="231" t="str">
        <f t="shared" si="37"/>
        <v/>
      </c>
      <c r="BR21" s="231" t="str">
        <f>IF(BJ21&lt;&gt;"",VLOOKUP(BJ21,C$4:I$52,7,FALSE),"")</f>
        <v/>
      </c>
      <c r="BS21" s="231" t="str">
        <f>IF(BJ21&lt;&gt;"",VLOOKUP(BJ21,C$4:I$52,5,FALSE),"")</f>
        <v/>
      </c>
      <c r="BT21" s="231" t="str">
        <f>IF(BJ21&lt;&gt;"",VLOOKUP(BJ21,C$4:K$52,9,FALSE),"")</f>
        <v/>
      </c>
      <c r="BU21" s="231" t="str">
        <f t="shared" si="38"/>
        <v/>
      </c>
      <c r="BV21" s="231" t="str">
        <f>IF(BJ21&lt;&gt;"",RANK(BU21,BU18:BU22),"")</f>
        <v/>
      </c>
      <c r="BW21" s="231" t="str">
        <f>IF(BJ21&lt;&gt;"",SUMPRODUCT((BU18:BU22=BU21)*(BP18:BP22&gt;BP21)),"")</f>
        <v/>
      </c>
      <c r="BX21" s="231" t="str">
        <f>IF(BJ21&lt;&gt;"",SUMPRODUCT((BU18:BU22=BU21)*(BP18:BP22=BP21)*(BN18:BN22&gt;BN21)),"")</f>
        <v/>
      </c>
      <c r="BY21" s="231" t="str">
        <f>IF(BJ21&lt;&gt;"",SUMPRODUCT((BU18:BU22=BU21)*(BP18:BP22=BP21)*(BN18:BN22=BN21)*(BR18:BR22&gt;BR21)),"")</f>
        <v/>
      </c>
      <c r="BZ21" s="231" t="str">
        <f>IF(BJ21&lt;&gt;"",SUMPRODUCT((BU18:BU22=BU21)*(BP18:BP22=BP21)*(BN18:BN22=BN21)*(BR18:BR22=BR21)*(BS18:BS22&gt;BS21)),"")</f>
        <v/>
      </c>
      <c r="CA21" s="231" t="str">
        <f>IF(BJ21&lt;&gt;"",SUMPRODUCT((BU18:BU22=BU21)*(BP18:BP22=BP21)*(BN18:BN22=BN21)*(BR18:BR22=BR21)*(BS18:BS22=BS21)*(BT18:BT22&gt;BT21)),"")</f>
        <v/>
      </c>
      <c r="CB21" s="231" t="str">
        <f>IF(BJ21&lt;&gt;"",SUM(BV21:CA21)+2,"")</f>
        <v/>
      </c>
      <c r="CC21" s="231" t="str">
        <f>IF(BJ21&lt;&gt;"",INDEX(BJ20:BJ22,MATCH(4,CB20:CB22,0),0),"")</f>
        <v/>
      </c>
      <c r="CD21" s="231" t="str">
        <f>IF(T18&lt;&gt;"",T18,"")</f>
        <v/>
      </c>
      <c r="CE21" s="231">
        <f>SUMPRODUCT((DA$3:DA$105=CD21)*(DD$3:DD$105=CD22)*(DE$3:DE$105="W"))+SUMPRODUCT((DA$3:DA$105=CD21)*(DD$3:DD$105=CD23)*(DE$3:DE$105="W"))+SUMPRODUCT((DA$3:DA$105=CD21)*(DD$3:DD$105=CD24)*(DE$3:DE$105="W"))+SUMPRODUCT((DA$3:DA$105=CD22)*(DD$3:DD$105=CD21)*(DF$3:DF$105="W"))+SUMPRODUCT((DA$3:DA$105=CD23)*(DD$3:DD$105=CD21)*(DF$3:DF$105="W"))+SUMPRODUCT((DA$3:DA$105=CD24)*(DD$3:DD$105=CD21)*(DF$3:DF$105="W"))</f>
        <v>0</v>
      </c>
      <c r="CF21" s="231">
        <f>SUMPRODUCT((DA$3:DA$105=CD21)*(DD$3:DD$105=CD22)*(DE$3:DE$105="D"))+SUMPRODUCT((DA$3:DA$105=CD21)*(DD$3:DD$105=CD23)*(DE$3:DE$105="D"))+SUMPRODUCT((DA$3:DA$105=CD21)*(DD$3:DD$105=CD24)*(DE$3:DE$105="D"))+SUMPRODUCT((DA$3:DA$105=CD22)*(DD$3:DD$105=CD21)*(DE$3:DE$105="D"))+SUMPRODUCT((DA$3:DA$105=CD23)*(DD$3:DD$105=CD21)*(DE$3:DE$105="D"))+SUMPRODUCT((DA$3:DA$105=CD24)*(DD$3:DD$105=CD21)*(DE$3:DE$105="D"))</f>
        <v>0</v>
      </c>
      <c r="CG21" s="231">
        <f>SUMPRODUCT((DA$3:DA$105=CD21)*(DD$3:DD$105=CD22)*(DE$3:DE$105="L"))+SUMPRODUCT((DA$3:DA$105=CD21)*(DD$3:DD$105=CD23)*(DE$3:DE$105="L"))+SUMPRODUCT((DA$3:DA$105=CD21)*(DD$3:DD$105=CD24)*(DE$3:DE$105="L"))+SUMPRODUCT((DA$3:DA$105=CD22)*(DD$3:DD$105=CD21)*(DF$3:DF$105="L"))+SUMPRODUCT((DA$3:DA$105=CD23)*(DD$3:DD$105=CD21)*(DF$3:DF$105="L"))+SUMPRODUCT((DA$3:DA$105=CD24)*(DD$3:DD$105=CD21)*(DF$3:DF$105="L"))</f>
        <v>0</v>
      </c>
      <c r="CH21" s="231">
        <f>SUMPRODUCT((DA$3:DA$105=CD21)*(DD$3:DD$105=CD22)*DB$3:DB$105)+SUMPRODUCT((DA$3:DA$105=CD21)*(DD$3:DD$105=CD18)*DB$3:DB$105)+SUMPRODUCT((DA$3:DA$105=CD21)*(DD$3:DD$105=CD19)*DB$3:DB$105)+SUMPRODUCT((DA$3:DA$105=CD21)*(DD$3:DD$105=CD20)*DB$3:DB$105)+SUMPRODUCT((DA$3:DA$105=CD22)*(DD$3:DD$105=CD21)*DC$3:DC$105)+SUMPRODUCT((DA$3:DA$105=CD18)*(DD$3:DD$105=CD21)*DC$3:DC$105)+SUMPRODUCT((DA$3:DA$105=CD19)*(DD$3:DD$105=CD21)*DC$3:DC$105)+SUMPRODUCT((DA$3:DA$105=CD20)*(DD$3:DD$105=CD21)*DC$3:DC$105)</f>
        <v>0</v>
      </c>
      <c r="CI21" s="231">
        <f>SUMPRODUCT((DA$3:DA$105=CD21)*(DD$3:DD$105=CD22)*DC$3:DC$105)+SUMPRODUCT((DA$3:DA$105=CD21)*(DD$3:DD$105=CD18)*DC$3:DC$105)+SUMPRODUCT((DA$3:DA$105=CD21)*(DD$3:DD$105=CD19)*DC$3:DC$105)+SUMPRODUCT((DA$3:DA$105=CD21)*(DD$3:DD$105=CD20)*DC$3:DC$105)+SUMPRODUCT((DA$3:DA$105=CD22)*(DD$3:DD$105=CD21)*DB$3:DB$105)+SUMPRODUCT((DA$3:DA$105=CD18)*(DD$3:DD$105=CD21)*DB$3:DB$105)+SUMPRODUCT((DA$3:DA$105=CD19)*(DD$3:DD$105=CD21)*DB$3:DB$105)+SUMPRODUCT((DA$3:DA$105=CD20)*(DD$3:DD$105=CD21)*DB$3:DB$105)</f>
        <v>0</v>
      </c>
      <c r="CJ21" s="231">
        <f>CH21-CI21+1000</f>
        <v>1000</v>
      </c>
      <c r="CK21" s="231" t="str">
        <f t="shared" ref="CK21" si="39">IF(CD21&lt;&gt;"",CE21*3+CF21*1,"")</f>
        <v/>
      </c>
      <c r="CL21" s="231" t="str">
        <f>IF(CD21&lt;&gt;"",VLOOKUP(CD21,C$4:I$52,7,FALSE),"")</f>
        <v/>
      </c>
      <c r="CM21" s="231" t="str">
        <f>IF(CD21&lt;&gt;"",VLOOKUP(CD21,C$4:I$52,5,FALSE),"")</f>
        <v/>
      </c>
      <c r="CN21" s="231" t="str">
        <f>IF(CD21&lt;&gt;"",VLOOKUP(CD21,C$4:K$52,9,FALSE),"")</f>
        <v/>
      </c>
      <c r="CO21" s="231" t="str">
        <f t="shared" ref="CO21" si="40">CK21</f>
        <v/>
      </c>
      <c r="CP21" s="231" t="str">
        <f>IF(CD21&lt;&gt;"",RANK(CO21,CO18:CO22),"")</f>
        <v/>
      </c>
      <c r="CQ21" s="231" t="str">
        <f>IF(CD21&lt;&gt;"",SUMPRODUCT((CO18:CO22=CO21)*(CJ18:CJ22&gt;CJ21)),"")</f>
        <v/>
      </c>
      <c r="CR21" s="231" t="str">
        <f>IF(CD21&lt;&gt;"",SUMPRODUCT((CO18:CO22=CO21)*(CJ18:CJ22=CJ21)*(CH18:CH22&gt;CH21)),"")</f>
        <v/>
      </c>
      <c r="CS21" s="231" t="str">
        <f>IF(CD21&lt;&gt;"",SUMPRODUCT((CO18:CO22=CO21)*(CJ18:CJ22=CJ21)*(CH18:CH22=CH21)*(CL18:CL22&gt;CL21)),"")</f>
        <v/>
      </c>
      <c r="CT21" s="231" t="str">
        <f>IF(CD21&lt;&gt;"",SUMPRODUCT((CO18:CO22=CO21)*(CJ18:CJ22=CJ21)*(CH18:CH22=CH21)*(CL18:CL22=CL21)*(CM18:CM22&gt;CM21)),"")</f>
        <v/>
      </c>
      <c r="CU21" s="231" t="str">
        <f>IF(CD21&lt;&gt;"",SUMPRODUCT((CO18:CO22=CO21)*(CJ18:CJ22=CJ21)*(CH18:CH22=CH21)*(CL18:CL22=CL21)*(CM18:CM22=CM21)*(CN18:CN22&gt;CN21)),"")</f>
        <v/>
      </c>
      <c r="CV21" s="231" t="str">
        <f>IF(CD21&lt;&gt;"",SUM(CP21:CU21)+3,"")</f>
        <v/>
      </c>
      <c r="CW21" s="231" t="str">
        <f>IF(CD21&lt;&gt;"",IF(CV21=4,CD21,CD22),"")</f>
        <v/>
      </c>
      <c r="CX21" s="231" t="str">
        <f>IF(CW21&lt;&gt;"",CW21,IF(CC21&lt;&gt;"",CC21,IF(BI21&lt;&gt;"",BI21,IF(AO21&lt;&gt;"",AO21,O21))))</f>
        <v>Haiti</v>
      </c>
      <c r="CY21" s="231">
        <v>4</v>
      </c>
      <c r="CZ21" s="231">
        <v>19</v>
      </c>
      <c r="DA21" s="234" t="str">
        <f>IF(LEFT(About!C5,2)="jo",Matches!H22,"Argentine")</f>
        <v>Argentina</v>
      </c>
      <c r="DB21" s="234">
        <f>IF($DA$2&lt;&gt;"",IF(AND(Matches!J22&lt;&gt;"",Matches!K22&lt;&gt;""),Matches!J22,0),"")</f>
        <v>0</v>
      </c>
      <c r="DC21" s="234">
        <f>IF($DA$2&lt;&gt;"",IF(AND(Matches!J22&lt;&gt;"",Matches!K22&lt;&gt;""),Matches!K22,0),"")</f>
        <v>0</v>
      </c>
      <c r="DD21" s="234" t="str">
        <f>Matches!M22</f>
        <v>Algeria</v>
      </c>
      <c r="DE21" s="234" t="str">
        <f>IF(AND(Matches!J22&lt;&gt;"",Matches!K22&lt;&gt;""),IF(DB21&gt;DC21,"W",IF(DB21=DC21,"D","L")),"")</f>
        <v/>
      </c>
      <c r="DF21" s="231" t="str">
        <f t="shared" si="0"/>
        <v/>
      </c>
      <c r="DI21" s="242"/>
      <c r="DQ21" s="238"/>
      <c r="DR21" s="239"/>
      <c r="DS21" s="240" t="str">
        <f t="shared" si="16"/>
        <v>Australia</v>
      </c>
      <c r="DT21" s="241" t="s">
        <v>648</v>
      </c>
      <c r="DU21" s="240"/>
      <c r="DV21" s="233">
        <v>15</v>
      </c>
      <c r="DW21" s="242">
        <v>-5</v>
      </c>
      <c r="DX21" s="230"/>
      <c r="DY21" s="243">
        <v>15</v>
      </c>
      <c r="DZ21" s="244">
        <f t="shared" si="14"/>
        <v>46188.875</v>
      </c>
      <c r="EA21" s="245">
        <v>46188.875</v>
      </c>
      <c r="EB21" s="246">
        <f t="shared" si="15"/>
        <v>46188.875</v>
      </c>
      <c r="EC21" s="245"/>
      <c r="EE21" s="233" t="str">
        <f>INDEX(Language!$A$1:$K$177,MATCH(Setup!B22,Language!$B$1:$B$177,0),MATCH(Setup!$C$5,Language!$A$1:$J$1,0))</f>
        <v>Australia</v>
      </c>
    </row>
    <row r="22" spans="1:135" ht="13.5" customHeight="1" x14ac:dyDescent="0.25">
      <c r="CZ22" s="231">
        <v>20</v>
      </c>
      <c r="DA22" s="234" t="str">
        <f>Matches!H23</f>
        <v>Austria</v>
      </c>
      <c r="DB22" s="234">
        <f>IF($DA$2&lt;&gt;"",IF(AND(Matches!J23&lt;&gt;"",Matches!K23&lt;&gt;""),Matches!J23,0),"")</f>
        <v>0</v>
      </c>
      <c r="DC22" s="234">
        <f>IF($DA$2&lt;&gt;"",IF(AND(Matches!J23&lt;&gt;"",Matches!K23&lt;&gt;""),Matches!K23,0),"")</f>
        <v>0</v>
      </c>
      <c r="DD22" s="234" t="str">
        <f>Matches!M23</f>
        <v>Jordan</v>
      </c>
      <c r="DE22" s="234" t="str">
        <f>IF(AND(Matches!J23&lt;&gt;"",Matches!K23&lt;&gt;""),IF(DB22&gt;DC22,"W",IF(DB22=DC22,"D","L")),"")</f>
        <v/>
      </c>
      <c r="DF22" s="231" t="str">
        <f t="shared" si="0"/>
        <v/>
      </c>
      <c r="DI22" s="242"/>
      <c r="DQ22" s="238"/>
      <c r="DR22" s="239"/>
      <c r="DS22" s="240" t="str">
        <f t="shared" si="16"/>
        <v>Türkiye</v>
      </c>
      <c r="DT22" s="241" t="s">
        <v>649</v>
      </c>
      <c r="DU22" s="240"/>
      <c r="DV22" s="233">
        <v>16</v>
      </c>
      <c r="DW22" s="242">
        <v>-4.5</v>
      </c>
      <c r="DX22" s="230"/>
      <c r="DY22" s="243">
        <v>16</v>
      </c>
      <c r="DZ22" s="244">
        <f t="shared" si="14"/>
        <v>46188.625</v>
      </c>
      <c r="EA22" s="245">
        <v>46188.625</v>
      </c>
      <c r="EB22" s="246">
        <f t="shared" si="15"/>
        <v>46188.625</v>
      </c>
      <c r="EC22" s="245"/>
      <c r="EE22" s="233" t="str">
        <f>INDEX(Language!$A$1:$K$177,MATCH(Setup!B23,Language!$B$1:$B$177,0),MATCH(Setup!$C$5,Language!$A$1:$J$1,0))</f>
        <v>Türkiye</v>
      </c>
    </row>
    <row r="23" spans="1:135" ht="13.5" customHeight="1" x14ac:dyDescent="0.25">
      <c r="CZ23" s="231">
        <v>21</v>
      </c>
      <c r="DA23" s="234" t="str">
        <f>Matches!H24</f>
        <v>Ghana</v>
      </c>
      <c r="DB23" s="234">
        <f>IF($DA$2&lt;&gt;"",IF(AND(Matches!J24&lt;&gt;"",Matches!K24&lt;&gt;""),Matches!J24,0),"")</f>
        <v>0</v>
      </c>
      <c r="DC23" s="234">
        <f>IF($DA$2&lt;&gt;"",IF(AND(Matches!J24&lt;&gt;"",Matches!K24&lt;&gt;""),Matches!K24,0),"")</f>
        <v>0</v>
      </c>
      <c r="DD23" s="234" t="str">
        <f>Matches!M24</f>
        <v>Panama</v>
      </c>
      <c r="DE23" s="234" t="str">
        <f>IF(AND(Matches!J24&lt;&gt;"",Matches!K24&lt;&gt;""),IF(DB23&gt;DC23,"W",IF(DB23=DC23,"D","L")),"")</f>
        <v/>
      </c>
      <c r="DF23" s="231" t="str">
        <f t="shared" si="0"/>
        <v/>
      </c>
      <c r="DI23" s="242"/>
      <c r="DQ23" s="238" t="s">
        <v>76</v>
      </c>
      <c r="DR23" s="239"/>
      <c r="DS23" s="240" t="str">
        <f t="shared" si="16"/>
        <v>Germany</v>
      </c>
      <c r="DT23" s="241" t="s">
        <v>650</v>
      </c>
      <c r="DU23" s="240"/>
      <c r="DV23" s="233">
        <v>17</v>
      </c>
      <c r="DW23" s="242">
        <v>-4</v>
      </c>
      <c r="DX23" s="230"/>
      <c r="DY23" s="243">
        <v>17</v>
      </c>
      <c r="DZ23" s="244">
        <f t="shared" si="14"/>
        <v>46189.625</v>
      </c>
      <c r="EA23" s="245">
        <v>46189.625</v>
      </c>
      <c r="EB23" s="246">
        <f t="shared" si="15"/>
        <v>46189.625</v>
      </c>
      <c r="EC23" s="245"/>
      <c r="EE23" s="233" t="str">
        <f>INDEX(Language!$A$1:$K$177,MATCH(Setup!B24,Language!$B$1:$B$177,0),MATCH(Setup!$C$5,Language!$A$1:$J$1,0))</f>
        <v>Germany</v>
      </c>
    </row>
    <row r="24" spans="1:135" ht="13.5" customHeight="1" x14ac:dyDescent="0.25">
      <c r="CZ24" s="231">
        <v>22</v>
      </c>
      <c r="DA24" s="234" t="str">
        <f>Matches!H25</f>
        <v>England</v>
      </c>
      <c r="DB24" s="234">
        <f>IF($DA$2&lt;&gt;"",IF(AND(Matches!J25&lt;&gt;"",Matches!K25&lt;&gt;""),Matches!J25,0),"")</f>
        <v>0</v>
      </c>
      <c r="DC24" s="234">
        <f>IF($DA$2&lt;&gt;"",IF(AND(Matches!J25&lt;&gt;"",Matches!K25&lt;&gt;""),Matches!K25,0),"")</f>
        <v>0</v>
      </c>
      <c r="DD24" s="234" t="str">
        <f>Matches!M25</f>
        <v>Croatia</v>
      </c>
      <c r="DE24" s="234" t="str">
        <f>IF(AND(Matches!J25&lt;&gt;"",Matches!K25&lt;&gt;""),IF(DB24&gt;DC24,"W",IF(DB24=DC24,"D","L")),"")</f>
        <v/>
      </c>
      <c r="DF24" s="231" t="str">
        <f t="shared" si="0"/>
        <v/>
      </c>
      <c r="DI24" s="242"/>
      <c r="DQ24" s="238"/>
      <c r="DR24" s="239"/>
      <c r="DS24" s="240" t="str">
        <f t="shared" si="16"/>
        <v>Curacao</v>
      </c>
      <c r="DT24" s="241" t="s">
        <v>651</v>
      </c>
      <c r="DU24" s="240"/>
      <c r="DV24" s="233">
        <v>18</v>
      </c>
      <c r="DW24" s="242">
        <v>-3.5</v>
      </c>
      <c r="DX24" s="230"/>
      <c r="DY24" s="243">
        <v>18</v>
      </c>
      <c r="DZ24" s="244">
        <f t="shared" si="14"/>
        <v>46189.75</v>
      </c>
      <c r="EA24" s="245">
        <v>46189.75</v>
      </c>
      <c r="EB24" s="246">
        <f t="shared" si="15"/>
        <v>46189.75</v>
      </c>
      <c r="EC24" s="245"/>
      <c r="EE24" s="233" t="str">
        <f>INDEX(Language!$A$1:$K$177,MATCH(Setup!B25,Language!$B$1:$B$177,0),MATCH(Setup!$C$5,Language!$A$1:$J$1,0))</f>
        <v>Curacao</v>
      </c>
    </row>
    <row r="25" spans="1:135" ht="13.5" customHeight="1" x14ac:dyDescent="0.25">
      <c r="A25" s="230">
        <f>Setup!F20+100</f>
        <v>115</v>
      </c>
      <c r="B25" s="231">
        <f>VLOOKUP(C25,CX$25:CY$29,2,FALSE)</f>
        <v>1</v>
      </c>
      <c r="C25" s="232" t="str">
        <f>EE19</f>
        <v>USA</v>
      </c>
      <c r="D25" s="231">
        <f>SUMPRODUCT((DA$3:DA$105=C25)*(DE$3:DE$105="W"))+SUMPRODUCT((DD$3:DD$105=C25)*(DF$3:DF$105="W"))</f>
        <v>0</v>
      </c>
      <c r="E25" s="231">
        <f>SUMPRODUCT((DA$3:DA$105=C25)*(DE$3:DE$105="D"))+SUMPRODUCT((DD$3:DD$105=C25)*(DF$3:DF$105="D"))</f>
        <v>0</v>
      </c>
      <c r="F25" s="231">
        <f>SUMPRODUCT((DA$3:DA$105=C25)*(DE$3:DE$105="L"))+SUMPRODUCT((DD$3:DD$105=C25)*(DF$3:DF$105="L"))</f>
        <v>0</v>
      </c>
      <c r="G25" s="231">
        <f>SUMIF(DA3:DA123,C25,DB3:DB123)+SUMIF(DD3:DD123,C25,DC3:DC123)</f>
        <v>0</v>
      </c>
      <c r="H25" s="231">
        <f>SUMIF(DD3:DD123,C25,DB3:DB123)+SUMIF(DA3:DA123,C25,DC3:DC123)</f>
        <v>0</v>
      </c>
      <c r="I25" s="231">
        <f t="shared" ref="I25:I28" si="41">G25-H25+1000</f>
        <v>1000</v>
      </c>
      <c r="J25" s="231">
        <f t="shared" ref="J25:J28" si="42">D25*3+E25*1</f>
        <v>0</v>
      </c>
      <c r="K25" s="231">
        <f>IF(Setup!G20&lt;&gt;"",Setup!G20,-A25)</f>
        <v>-115</v>
      </c>
      <c r="L25" s="231">
        <f>IF(COUNTIF(J25:J29,4)&lt;&gt;4,RANK(J25,J25:J29),J104)</f>
        <v>1</v>
      </c>
      <c r="N25" s="231">
        <f>SUMPRODUCT((L25:L28=L25)*(K25:K28&lt;K25))+L25</f>
        <v>4</v>
      </c>
      <c r="O25" s="232" t="str">
        <f>INDEX(C25:C29,MATCH(1,N25:N29,0),0)</f>
        <v>Paraguay</v>
      </c>
      <c r="P25" s="231">
        <f>INDEX(L25:L29,MATCH(O25,C25:C29,0),0)</f>
        <v>1</v>
      </c>
      <c r="Q25" s="231" t="str">
        <f>IF(P26=1,O25,"")</f>
        <v>Paraguay</v>
      </c>
      <c r="R25" s="231" t="str">
        <f>IF(P27=2,O26,"")</f>
        <v/>
      </c>
      <c r="S25" s="231" t="str">
        <f>IF(P28=3,O27,"")</f>
        <v/>
      </c>
      <c r="T25" s="231" t="str">
        <f>IF(P29=4,O28,"")</f>
        <v/>
      </c>
      <c r="V25" s="231" t="str">
        <f>IF(Q25&lt;&gt;"",Q25,"")</f>
        <v>Paraguay</v>
      </c>
      <c r="W25" s="231">
        <f>SUMPRODUCT((DA$3:DA$105=V25)*(DD$3:DD$105=V26)*(DE$3:DE$105="W"))+SUMPRODUCT((DA$3:DA$105=V25)*(DD$3:DD$105=V27)*(DE$3:DE$105="W"))+SUMPRODUCT((DA$3:DA$105=V25)*(DD$3:DD$105=V28)*(DE$3:DE$105="W"))+SUMPRODUCT((DA$3:DA$105=V25)*(DD$3:DD$105=V29)*(DE$3:DE$105="W"))+SUMPRODUCT((DA$3:DA$105=V26)*(DD$3:DD$105=V25)*(DF$3:DF$105="W"))+SUMPRODUCT((DA$3:DA$105=V27)*(DD$3:DD$105=V25)*(DF$3:DF$105="W"))+SUMPRODUCT((DA$3:DA$105=V28)*(DD$3:DD$105=V25)*(DF$3:DF$105="W"))+SUMPRODUCT((DA$3:DA$105=V29)*(DD$3:DD$105=V25)*(DF$3:DF$105="W"))</f>
        <v>0</v>
      </c>
      <c r="X25" s="231">
        <f>SUMPRODUCT((DA$3:DA$105=V25)*(DD$3:DD$105=V26)*(DE$3:DE$105="D"))+SUMPRODUCT((DA$3:DA$105=V25)*(DD$3:DD$105=V27)*(DE$3:DE$105="D"))+SUMPRODUCT((DA$3:DA$105=V25)*(DD$3:DD$105=V28)*(DE$3:DE$105="D"))+SUMPRODUCT((DA$3:DA$105=V25)*(DD$3:DD$105=V29)*(DE$3:DE$105="D"))+SUMPRODUCT((DA$3:DA$105=V26)*(DD$3:DD$105=V25)*(DE$3:DE$105="D"))+SUMPRODUCT((DA$3:DA$105=V27)*(DD$3:DD$105=V25)*(DE$3:DE$105="D"))+SUMPRODUCT((DA$3:DA$105=V28)*(DD$3:DD$105=V25)*(DE$3:DE$105="D"))+SUMPRODUCT((DA$3:DA$105=V29)*(DD$3:DD$105=V25)*(DE$3:DE$105="D"))</f>
        <v>0</v>
      </c>
      <c r="Y25" s="231">
        <f>SUMPRODUCT((DA$3:DA$105=V25)*(DD$3:DD$105=V26)*(DE$3:DE$105="L"))+SUMPRODUCT((DA$3:DA$105=V25)*(DD$3:DD$105=V27)*(DE$3:DE$105="L"))+SUMPRODUCT((DA$3:DA$105=V25)*(DD$3:DD$105=V28)*(DE$3:DE$105="L"))+SUMPRODUCT((DA$3:DA$105=V25)*(DD$3:DD$105=V29)*(DE$3:DE$105="L"))+SUMPRODUCT((DA$3:DA$105=V26)*(DD$3:DD$105=V25)*(DF$3:DF$105="L"))+SUMPRODUCT((DA$3:DA$105=V27)*(DD$3:DD$105=V25)*(DF$3:DF$105="L"))+SUMPRODUCT((DA$3:DA$105=V28)*(DD$3:DD$105=V25)*(DF$3:DF$105="L"))+SUMPRODUCT((DA$3:DA$105=V29)*(DD$3:DD$105=V25)*(DF$3:DF$105="L"))</f>
        <v>0</v>
      </c>
      <c r="Z25" s="231">
        <f>SUMPRODUCT((DA$3:DA$105=V25)*(DD$3:DD$105=V26)*DB$3:DB$105)+SUMPRODUCT((DA$3:DA$105=V25)*(DD$3:DD$105=V27)*DB$3:DB$105)+SUMPRODUCT((DA$3:DA$105=V25)*(DD$3:DD$105=V28)*DB$3:DB$105)+SUMPRODUCT((DA$3:DA$105=V25)*(DD$3:DD$105=V29)*DB$3:DB$105)+SUMPRODUCT((DA$3:DA$105=V26)*(DD$3:DD$105=V25)*DC$3:DC$105)+SUMPRODUCT((DA$3:DA$105=V27)*(DD$3:DD$105=V25)*DC$3:DC$105)+SUMPRODUCT((DA$3:DA$105=V28)*(DD$3:DD$105=V25)*DC$3:DC$105)+SUMPRODUCT((DA$3:DA$105=V29)*(DD$3:DD$105=V25)*DC$3:DC$105)</f>
        <v>0</v>
      </c>
      <c r="AA25" s="231">
        <f>SUMPRODUCT((DA$3:DA$105=V25)*(DD$3:DD$105=V26)*DC$3:DC$105)+SUMPRODUCT((DA$3:DA$105=V25)*(DD$3:DD$105=V27)*DC$3:DC$105)+SUMPRODUCT((DA$3:DA$105=V25)*(DD$3:DD$105=V28)*DC$3:DC$105)+SUMPRODUCT((DA$3:DA$105=V25)*(DD$3:DD$105=V29)*DC$3:DC$105)+SUMPRODUCT((DA$3:DA$105=V26)*(DD$3:DD$105=V25)*DB$3:DB$105)+SUMPRODUCT((DA$3:DA$105=V27)*(DD$3:DD$105=V25)*DB$3:DB$105)+SUMPRODUCT((DA$3:DA$105=V28)*(DD$3:DD$105=V25)*DB$3:DB$105)+SUMPRODUCT((DA$3:DA$105=V29)*(DD$3:DD$105=V25)*DB$3:DB$105)</f>
        <v>0</v>
      </c>
      <c r="AB25" s="231">
        <f>Z25-AA25+1000</f>
        <v>1000</v>
      </c>
      <c r="AC25" s="231">
        <f t="shared" ref="AC25:AC28" si="43">IF(V25&lt;&gt;"",W25*3+X25*1,"")</f>
        <v>0</v>
      </c>
      <c r="AD25" s="231">
        <f>IF(V25&lt;&gt;"",VLOOKUP(V25,C$4:I$52,7,FALSE),"")</f>
        <v>1000</v>
      </c>
      <c r="AE25" s="231">
        <f>IF(V25&lt;&gt;"",VLOOKUP(V25,C$4:I$52,5,FALSE),"")</f>
        <v>0</v>
      </c>
      <c r="AF25" s="231">
        <f>IF(V25&lt;&gt;"",VLOOKUP(V25,C$4:K$52,9,FALSE),"")</f>
        <v>-140</v>
      </c>
      <c r="AG25" s="231">
        <f t="shared" ref="AG25:AG28" si="44">AC25</f>
        <v>0</v>
      </c>
      <c r="AH25" s="231">
        <f>IF(V25&lt;&gt;"",RANK(AG25,AG25:AG29),"")</f>
        <v>1</v>
      </c>
      <c r="AI25" s="231">
        <f>IF(V25&lt;&gt;"",SUMPRODUCT((AG25:AG29=AG25)*(AB25:AB29&gt;AB25)),"")</f>
        <v>0</v>
      </c>
      <c r="AJ25" s="231">
        <f>IF(V25&lt;&gt;"",SUMPRODUCT((AG25:AG29=AG25)*(AB25:AB29=AB25)*(Z25:Z29&gt;Z25)),"")</f>
        <v>0</v>
      </c>
      <c r="AK25" s="231">
        <f>IF(V25&lt;&gt;"",SUMPRODUCT((AG25:AG29=AG25)*(AB25:AB29=AB25)*(Z25:Z29=Z25)*(AD25:AD29&gt;AD25)),"")</f>
        <v>0</v>
      </c>
      <c r="AL25" s="231">
        <f>IF(V25&lt;&gt;"",SUMPRODUCT((AG25:AG29=AG25)*(AB25:AB29=AB25)*(Z25:Z29=Z25)*(AD25:AD29=AD25)*(AE25:AE29&gt;AE25)),"")</f>
        <v>0</v>
      </c>
      <c r="AM25" s="231">
        <f>IF(V25&lt;&gt;"",SUMPRODUCT((AG25:AG29=AG25)*(AB25:AB29=AB25)*(Z25:Z29=Z25)*(AD25:AD29=AD25)*(AE25:AE29=AE25)*(AF25:AF29&gt;AF25)),"")</f>
        <v>3</v>
      </c>
      <c r="AN25" s="231">
        <f>IF(V25&lt;&gt;"",IF(AN104&lt;&gt;"",IF(U103=3,AN104,AN104+U103),SUM(AH25:AM25)),"")</f>
        <v>4</v>
      </c>
      <c r="AO25" s="231" t="str">
        <f>IF(V25&lt;&gt;"",INDEX(V25:V29,MATCH(1,AN25:AN29,0),0),"")</f>
        <v>USA</v>
      </c>
      <c r="CX25" s="231" t="str">
        <f>IF(AO25&lt;&gt;"",AO25,O25)</f>
        <v>USA</v>
      </c>
      <c r="CY25" s="231">
        <v>1</v>
      </c>
      <c r="CZ25" s="231">
        <v>23</v>
      </c>
      <c r="DA25" s="234" t="str">
        <f>Matches!H26</f>
        <v>Portugal</v>
      </c>
      <c r="DB25" s="234">
        <f>IF($DA$2&lt;&gt;"",IF(AND(Matches!J26&lt;&gt;"",Matches!K26&lt;&gt;""),Matches!J26,0),"")</f>
        <v>0</v>
      </c>
      <c r="DC25" s="234">
        <f>IF($DA$2&lt;&gt;"",IF(AND(Matches!J26&lt;&gt;"",Matches!K26&lt;&gt;""),Matches!K26,0),"")</f>
        <v>0</v>
      </c>
      <c r="DD25" s="234" t="str">
        <f>Matches!M26</f>
        <v>DR Congo</v>
      </c>
      <c r="DE25" s="234" t="str">
        <f>IF(AND(Matches!J26&lt;&gt;"",Matches!K26&lt;&gt;""),IF(DB25&gt;DC25,"W",IF(DB25=DC25,"D","L")),"")</f>
        <v/>
      </c>
      <c r="DF25" s="231" t="str">
        <f t="shared" si="0"/>
        <v/>
      </c>
      <c r="DI25" s="242"/>
      <c r="DQ25" s="238"/>
      <c r="DR25" s="239"/>
      <c r="DS25" s="240" t="str">
        <f t="shared" si="16"/>
        <v>Cote D'Voire</v>
      </c>
      <c r="DT25" s="241" t="s">
        <v>652</v>
      </c>
      <c r="DU25" s="240"/>
      <c r="DV25" s="233">
        <v>19</v>
      </c>
      <c r="DW25" s="242">
        <v>-3</v>
      </c>
      <c r="DX25" s="230"/>
      <c r="DY25" s="243">
        <v>19</v>
      </c>
      <c r="DZ25" s="244">
        <f t="shared" si="14"/>
        <v>46189.875</v>
      </c>
      <c r="EA25" s="245">
        <v>46189.875</v>
      </c>
      <c r="EB25" s="246">
        <f t="shared" si="15"/>
        <v>46189.875</v>
      </c>
      <c r="EC25" s="245"/>
      <c r="ED25" s="233">
        <f>SUM(Matches!S23:S26)</f>
        <v>10</v>
      </c>
      <c r="EE25" s="233" t="str">
        <f>INDEX(Language!$A$1:$K$177,MATCH(Setup!B26,Language!$B$1:$B$177,0),MATCH(Setup!$C$5,Language!$A$1:$J$1,0))</f>
        <v>Cote D'Voire</v>
      </c>
    </row>
    <row r="26" spans="1:135" ht="13.5" customHeight="1" x14ac:dyDescent="0.25">
      <c r="A26" s="230">
        <f>Setup!F21+100</f>
        <v>140</v>
      </c>
      <c r="B26" s="231">
        <f>VLOOKUP(C26,CX$25:CY$29,2,FALSE)</f>
        <v>4</v>
      </c>
      <c r="C26" s="232" t="str">
        <f t="shared" ref="C26:C28" si="45">EE20</f>
        <v>Paraguay</v>
      </c>
      <c r="D26" s="231">
        <f>SUMPRODUCT((DA$3:DA$105=C26)*(DE$3:DE$105="W"))+SUMPRODUCT((DD$3:DD$105=C26)*(DF$3:DF$105="W"))</f>
        <v>0</v>
      </c>
      <c r="E26" s="231">
        <f>SUMPRODUCT((DA$3:DA$105=C26)*(DE$3:DE$105="D"))+SUMPRODUCT((DD$3:DD$105=C26)*(DF$3:DF$105="D"))</f>
        <v>0</v>
      </c>
      <c r="F26" s="231">
        <f>SUMPRODUCT((DA$3:DA$105=C26)*(DE$3:DE$105="L"))+SUMPRODUCT((DD$3:DD$105=C26)*(DF$3:DF$105="L"))</f>
        <v>0</v>
      </c>
      <c r="G26" s="231">
        <f>SUMIF(DA3:DA123,C26,DB3:DB123)+SUMIF(DD3:DD123,C26,DC3:DC123)</f>
        <v>0</v>
      </c>
      <c r="H26" s="231">
        <f>SUMIF(DD3:DD123,C26,DB3:DB123)+SUMIF(DA3:DA123,C26,DC3:DC123)</f>
        <v>0</v>
      </c>
      <c r="I26" s="231">
        <f t="shared" si="41"/>
        <v>1000</v>
      </c>
      <c r="J26" s="231">
        <f t="shared" si="42"/>
        <v>0</v>
      </c>
      <c r="K26" s="231">
        <f>IF(Setup!G21&lt;&gt;"",Setup!G21,-A26)</f>
        <v>-140</v>
      </c>
      <c r="L26" s="231">
        <f>IF(COUNTIF(J25:J29,4)&lt;&gt;4,RANK(J26,J25:J29),J105)</f>
        <v>1</v>
      </c>
      <c r="N26" s="231">
        <f>SUMPRODUCT((L25:L28=L26)*(K25:K28&lt;K26))+L26</f>
        <v>1</v>
      </c>
      <c r="O26" s="232" t="str">
        <f>INDEX(C25:C29,MATCH(2,N25:N29,0),0)</f>
        <v>Australia</v>
      </c>
      <c r="P26" s="231">
        <f>INDEX(L25:L29,MATCH(O26,C25:C29,0),0)</f>
        <v>1</v>
      </c>
      <c r="Q26" s="231" t="str">
        <f>IF(Q25&lt;&gt;"",O26,"")</f>
        <v>Australia</v>
      </c>
      <c r="R26" s="231" t="str">
        <f>IF(R25&lt;&gt;"",O27,"")</f>
        <v/>
      </c>
      <c r="S26" s="231" t="str">
        <f>IF(S25&lt;&gt;"",O28,"")</f>
        <v/>
      </c>
      <c r="T26" s="231" t="str">
        <f>IF(T25&lt;&gt;"",O29,"")</f>
        <v/>
      </c>
      <c r="V26" s="231" t="str">
        <f t="shared" ref="V26:V28" si="46">IF(Q26&lt;&gt;"",Q26,"")</f>
        <v>Australia</v>
      </c>
      <c r="W26" s="231">
        <f>SUMPRODUCT((DA$3:DA$105=V26)*(DD$3:DD$105=V27)*(DE$3:DE$105="W"))+SUMPRODUCT((DA$3:DA$105=V26)*(DD$3:DD$105=V28)*(DE$3:DE$105="W"))+SUMPRODUCT((DA$3:DA$105=V26)*(DD$3:DD$105=V29)*(DE$3:DE$105="W"))+SUMPRODUCT((DA$3:DA$105=V26)*(DD$3:DD$105=V25)*(DE$3:DE$105="W"))+SUMPRODUCT((DA$3:DA$105=V27)*(DD$3:DD$105=V26)*(DF$3:DF$105="W"))+SUMPRODUCT((DA$3:DA$105=V28)*(DD$3:DD$105=V26)*(DF$3:DF$105="W"))+SUMPRODUCT((DA$3:DA$105=V29)*(DD$3:DD$105=V26)*(DF$3:DF$105="W"))+SUMPRODUCT((DA$3:DA$105=V25)*(DD$3:DD$105=V26)*(DF$3:DF$105="W"))</f>
        <v>0</v>
      </c>
      <c r="X26" s="231">
        <f>SUMPRODUCT((DA$3:DA$105=V26)*(DD$3:DD$105=V27)*(DE$3:DE$105="D"))+SUMPRODUCT((DA$3:DA$105=V26)*(DD$3:DD$105=V28)*(DE$3:DE$105="D"))+SUMPRODUCT((DA$3:DA$105=V26)*(DD$3:DD$105=V29)*(DE$3:DE$105="D"))+SUMPRODUCT((DA$3:DA$105=V26)*(DD$3:DD$105=V25)*(DE$3:DE$105="D"))+SUMPRODUCT((DA$3:DA$105=V27)*(DD$3:DD$105=V26)*(DE$3:DE$105="D"))+SUMPRODUCT((DA$3:DA$105=V28)*(DD$3:DD$105=V26)*(DE$3:DE$105="D"))+SUMPRODUCT((DA$3:DA$105=V29)*(DD$3:DD$105=V26)*(DE$3:DE$105="D"))+SUMPRODUCT((DA$3:DA$105=V25)*(DD$3:DD$105=V26)*(DE$3:DE$105="D"))</f>
        <v>0</v>
      </c>
      <c r="Y26" s="231">
        <f>SUMPRODUCT((DA$3:DA$105=V26)*(DD$3:DD$105=V27)*(DE$3:DE$105="L"))+SUMPRODUCT((DA$3:DA$105=V26)*(DD$3:DD$105=V28)*(DE$3:DE$105="L"))+SUMPRODUCT((DA$3:DA$105=V26)*(DD$3:DD$105=V29)*(DE$3:DE$105="L"))+SUMPRODUCT((DA$3:DA$105=V26)*(DD$3:DD$105=V25)*(DE$3:DE$105="L"))+SUMPRODUCT((DA$3:DA$105=V27)*(DD$3:DD$105=V26)*(DF$3:DF$105="L"))+SUMPRODUCT((DA$3:DA$105=V28)*(DD$3:DD$105=V26)*(DF$3:DF$105="L"))+SUMPRODUCT((DA$3:DA$105=V29)*(DD$3:DD$105=V26)*(DF$3:DF$105="L"))+SUMPRODUCT((DA$3:DA$105=V25)*(DD$3:DD$105=V26)*(DF$3:DF$105="L"))</f>
        <v>0</v>
      </c>
      <c r="Z26" s="231">
        <f>SUMPRODUCT((DA$3:DA$105=V26)*(DD$3:DD$105=V27)*DB$3:DB$105)+SUMPRODUCT((DA$3:DA$105=V26)*(DD$3:DD$105=V28)*DB$3:DB$105)+SUMPRODUCT((DA$3:DA$105=V26)*(DD$3:DD$105=V29)*DB$3:DB$105)+SUMPRODUCT((DA$3:DA$105=V26)*(DD$3:DD$105=V25)*DB$3:DB$105)+SUMPRODUCT((DA$3:DA$105=V27)*(DD$3:DD$105=V26)*DC$3:DC$105)+SUMPRODUCT((DA$3:DA$105=V28)*(DD$3:DD$105=V26)*DC$3:DC$105)+SUMPRODUCT((DA$3:DA$105=V29)*(DD$3:DD$105=V26)*DC$3:DC$105)+SUMPRODUCT((DA$3:DA$105=V25)*(DD$3:DD$105=V26)*DC$3:DC$105)</f>
        <v>0</v>
      </c>
      <c r="AA26" s="231">
        <f>SUMPRODUCT((DA$3:DA$105=V26)*(DD$3:DD$105=V27)*DC$3:DC$105)+SUMPRODUCT((DA$3:DA$105=V26)*(DD$3:DD$105=V28)*DC$3:DC$105)+SUMPRODUCT((DA$3:DA$105=V26)*(DD$3:DD$105=V29)*DC$3:DC$105)+SUMPRODUCT((DA$3:DA$105=V26)*(DD$3:DD$105=V25)*DC$3:DC$105)+SUMPRODUCT((DA$3:DA$105=V27)*(DD$3:DD$105=V26)*DB$3:DB$105)+SUMPRODUCT((DA$3:DA$105=V28)*(DD$3:DD$105=V26)*DB$3:DB$105)+SUMPRODUCT((DA$3:DA$105=V29)*(DD$3:DD$105=V26)*DB$3:DB$105)+SUMPRODUCT((DA$3:DA$105=V25)*(DD$3:DD$105=V26)*DB$3:DB$105)</f>
        <v>0</v>
      </c>
      <c r="AB26" s="231">
        <f>Z26-AA26+1000</f>
        <v>1000</v>
      </c>
      <c r="AC26" s="231">
        <f t="shared" si="43"/>
        <v>0</v>
      </c>
      <c r="AD26" s="231">
        <f>IF(V26&lt;&gt;"",VLOOKUP(V26,C$4:I$52,7,FALSE),"")</f>
        <v>1000</v>
      </c>
      <c r="AE26" s="231">
        <f>IF(V26&lt;&gt;"",VLOOKUP(V26,C$4:I$52,5,FALSE),"")</f>
        <v>0</v>
      </c>
      <c r="AF26" s="231">
        <f>IF(V26&lt;&gt;"",VLOOKUP(V26,C$4:K$52,9,FALSE),"")</f>
        <v>-127</v>
      </c>
      <c r="AG26" s="231">
        <f t="shared" si="44"/>
        <v>0</v>
      </c>
      <c r="AH26" s="231">
        <f>IF(V26&lt;&gt;"",RANK(AG26,AG25:AG29),"")</f>
        <v>1</v>
      </c>
      <c r="AI26" s="231">
        <f>IF(V26&lt;&gt;"",SUMPRODUCT((AG25:AG29=AG26)*(AB25:AB29&gt;AB26)),"")</f>
        <v>0</v>
      </c>
      <c r="AJ26" s="231">
        <f>IF(V26&lt;&gt;"",SUMPRODUCT((AG25:AG29=AG26)*(AB25:AB29=AB26)*(Z25:Z29&gt;Z26)),"")</f>
        <v>0</v>
      </c>
      <c r="AK26" s="231">
        <f>IF(V26&lt;&gt;"",SUMPRODUCT((AG25:AG29=AG26)*(AB25:AB29=AB26)*(Z25:Z29=Z26)*(AD25:AD29&gt;AD26)),"")</f>
        <v>0</v>
      </c>
      <c r="AL26" s="231">
        <f>IF(V26&lt;&gt;"",SUMPRODUCT((AG25:AG29=AG26)*(AB25:AB29=AB26)*(Z25:Z29=Z26)*(AD25:AD29=AD26)*(AE25:AE29&gt;AE26)),"")</f>
        <v>0</v>
      </c>
      <c r="AM26" s="231">
        <f>IF(V26&lt;&gt;"",SUMPRODUCT((AG25:AG29=AG26)*(AB25:AB29=AB26)*(Z25:Z29=Z26)*(AD25:AD29=AD26)*(AE25:AE29=AE26)*(AF25:AF29&gt;AF26)),"")</f>
        <v>2</v>
      </c>
      <c r="AN26" s="231">
        <f>IF(V26&lt;&gt;"",IF(AN105&lt;&gt;"",IF(U103=3,AN105,AN105+U103),SUM(AH26:AM26)),"")</f>
        <v>3</v>
      </c>
      <c r="AO26" s="231" t="str">
        <f>IF(V26&lt;&gt;"",INDEX(V25:V29,MATCH(2,AN25:AN29,0),0),"")</f>
        <v>Türkiye</v>
      </c>
      <c r="AP26" s="231" t="str">
        <f>IF(R25&lt;&gt;"",R25,"")</f>
        <v/>
      </c>
      <c r="AQ26" s="231">
        <f>SUMPRODUCT((DA$3:DA$105=AP26)*(DD$3:DD$105=AP27)*(DE$3:DE$105="W"))+SUMPRODUCT((DA$3:DA$105=AP26)*(DD$3:DD$105=AP28)*(DE$3:DE$105="W"))+SUMPRODUCT((DA$3:DA$105=AP26)*(DD$3:DD$105=AP29)*(DE$3:DE$105="W"))+SUMPRODUCT((DA$3:DA$105=AP27)*(DD$3:DD$105=AP26)*(DF$3:DF$105="W"))+SUMPRODUCT((DA$3:DA$105=AP28)*(DD$3:DD$105=AP26)*(DF$3:DF$105="W"))+SUMPRODUCT((DA$3:DA$105=AP29)*(DD$3:DD$105=AP26)*(DF$3:DF$105="W"))</f>
        <v>0</v>
      </c>
      <c r="AR26" s="231">
        <f>SUMPRODUCT((DA$3:DA$105=AP26)*(DD$3:DD$105=AP27)*(DE$3:DE$105="D"))+SUMPRODUCT((DA$3:DA$105=AP26)*(DD$3:DD$105=AP28)*(DE$3:DE$105="D"))+SUMPRODUCT((DA$3:DA$105=AP26)*(DD$3:DD$105=AP29)*(DE$3:DE$105="D"))+SUMPRODUCT((DA$3:DA$105=AP27)*(DD$3:DD$105=AP26)*(DE$3:DE$105="D"))+SUMPRODUCT((DA$3:DA$105=AP28)*(DD$3:DD$105=AP26)*(DE$3:DE$105="D"))+SUMPRODUCT((DA$3:DA$105=AP29)*(DD$3:DD$105=AP26)*(DE$3:DE$105="D"))</f>
        <v>0</v>
      </c>
      <c r="AS26" s="231">
        <f>SUMPRODUCT((DA$3:DA$105=AP26)*(DD$3:DD$105=AP27)*(DE$3:DE$105="L"))+SUMPRODUCT((DA$3:DA$105=AP26)*(DD$3:DD$105=AP28)*(DE$3:DE$105="L"))+SUMPRODUCT((DA$3:DA$105=AP26)*(DD$3:DD$105=AP29)*(DE$3:DE$105="L"))+SUMPRODUCT((DA$3:DA$105=AP27)*(DD$3:DD$105=AP26)*(DF$3:DF$105="L"))+SUMPRODUCT((DA$3:DA$105=AP28)*(DD$3:DD$105=AP26)*(DF$3:DF$105="L"))+SUMPRODUCT((DA$3:DA$105=AP29)*(DD$3:DD$105=AP26)*(DF$3:DF$105="L"))</f>
        <v>0</v>
      </c>
      <c r="AT26" s="231">
        <f>SUMPRODUCT((DA$3:DA$105=AP26)*(DD$3:DD$105=AP27)*DB$3:DB$105)+SUMPRODUCT((DA$3:DA$105=AP26)*(DD$3:DD$105=AP28)*DB$3:DB$105)+SUMPRODUCT((DA$3:DA$105=AP26)*(DD$3:DD$105=AP29)*DB$3:DB$105)+SUMPRODUCT((DA$3:DA$105=AP26)*(DD$3:DD$105=AP25)*DB$3:DB$105)+SUMPRODUCT((DA$3:DA$105=AP27)*(DD$3:DD$105=AP26)*DC$3:DC$105)+SUMPRODUCT((DA$3:DA$105=AP28)*(DD$3:DD$105=AP26)*DC$3:DC$105)+SUMPRODUCT((DA$3:DA$105=AP29)*(DD$3:DD$105=AP26)*DC$3:DC$105)+SUMPRODUCT((DA$3:DA$105=AP25)*(DD$3:DD$105=AP26)*DC$3:DC$105)</f>
        <v>0</v>
      </c>
      <c r="AU26" s="231">
        <f>SUMPRODUCT((DA$3:DA$105=AP26)*(DD$3:DD$105=AP27)*DC$3:DC$105)+SUMPRODUCT((DA$3:DA$105=AP26)*(DD$3:DD$105=AP28)*DC$3:DC$105)+SUMPRODUCT((DA$3:DA$105=AP26)*(DD$3:DD$105=AP29)*DC$3:DC$105)+SUMPRODUCT((DA$3:DA$105=AP26)*(DD$3:DD$105=AP25)*DC$3:DC$105)+SUMPRODUCT((DA$3:DA$105=AP27)*(DD$3:DD$105=AP26)*DB$3:DB$105)+SUMPRODUCT((DA$3:DA$105=AP28)*(DD$3:DD$105=AP26)*DB$3:DB$105)+SUMPRODUCT((DA$3:DA$105=AP29)*(DD$3:DD$105=AP26)*DB$3:DB$105)+SUMPRODUCT((DA$3:DA$105=AP25)*(DD$3:DD$105=AP26)*DB$3:DB$105)</f>
        <v>0</v>
      </c>
      <c r="AV26" s="231">
        <f>AT26-AU26+1000</f>
        <v>1000</v>
      </c>
      <c r="AW26" s="231" t="str">
        <f t="shared" ref="AW26:AW28" si="47">IF(AP26&lt;&gt;"",AQ26*3+AR26*1,"")</f>
        <v/>
      </c>
      <c r="AX26" s="231" t="str">
        <f>IF(AP26&lt;&gt;"",VLOOKUP(AP26,C$4:I$52,7,FALSE),"")</f>
        <v/>
      </c>
      <c r="AY26" s="231" t="str">
        <f>IF(AP26&lt;&gt;"",VLOOKUP(AP26,C$4:I$52,5,FALSE),"")</f>
        <v/>
      </c>
      <c r="AZ26" s="231" t="str">
        <f>IF(AP26&lt;&gt;"",VLOOKUP(AP26,C$4:K$52,9,FALSE),"")</f>
        <v/>
      </c>
      <c r="BA26" s="231" t="str">
        <f t="shared" ref="BA26:BA28" si="48">AW26</f>
        <v/>
      </c>
      <c r="BB26" s="231" t="str">
        <f>IF(AP26&lt;&gt;"",RANK(BA26,BA25:BA29),"")</f>
        <v/>
      </c>
      <c r="BC26" s="231" t="str">
        <f>IF(AP26&lt;&gt;"",SUMPRODUCT((BA25:BA29=BA26)*(AV25:AV29&gt;AV26)),"")</f>
        <v/>
      </c>
      <c r="BD26" s="231" t="str">
        <f>IF(AP26&lt;&gt;"",SUMPRODUCT((BA25:BA29=BA26)*(AV25:AV29=AV26)*(AT25:AT29&gt;AT26)),"")</f>
        <v/>
      </c>
      <c r="BE26" s="231" t="str">
        <f>IF(AP26&lt;&gt;"",SUMPRODUCT((BA25:BA29=BA26)*(AV25:AV29=AV26)*(AT25:AT29=AT26)*(AX25:AX29&gt;AX26)),"")</f>
        <v/>
      </c>
      <c r="BF26" s="231" t="str">
        <f>IF(AP26&lt;&gt;"",SUMPRODUCT((BA25:BA29=BA26)*(AV25:AV29=AV26)*(AT25:AT29=AT26)*(AX25:AX29=AX26)*(AY25:AY29&gt;AY26)),"")</f>
        <v/>
      </c>
      <c r="BG26" s="231" t="str">
        <f>IF(AP26&lt;&gt;"",SUMPRODUCT((BA25:BA29=BA26)*(AV25:AV29=AV26)*(AT25:AT29=AT26)*(AX25:AX29=AX26)*(AY25:AY29=AY26)*(AZ25:AZ29&gt;AZ26)),"")</f>
        <v/>
      </c>
      <c r="BH26" s="231" t="str">
        <f>IF(AP26&lt;&gt;"",IF(BH105&lt;&gt;"",IF(AO103=3,BH105,BH105+AO103),SUM(BB26:BG26)+1),"")</f>
        <v/>
      </c>
      <c r="BI26" s="231" t="str">
        <f>IF(AP26&lt;&gt;"",INDEX(AP26:AP29,MATCH(2,BH26:BH29,0),0),"")</f>
        <v/>
      </c>
      <c r="CX26" s="231" t="str">
        <f>IF(BI26&lt;&gt;"",BI26,IF(AO26&lt;&gt;"",AO26,O26))</f>
        <v>Türkiye</v>
      </c>
      <c r="CY26" s="231">
        <v>2</v>
      </c>
      <c r="CZ26" s="231">
        <v>24</v>
      </c>
      <c r="DA26" s="234" t="str">
        <f>Matches!H27</f>
        <v>Uzbekistan</v>
      </c>
      <c r="DB26" s="234">
        <f>IF($DA$2&lt;&gt;"",IF(AND(Matches!J27&lt;&gt;"",Matches!K27&lt;&gt;""),Matches!J27,0),"")</f>
        <v>0</v>
      </c>
      <c r="DC26" s="234">
        <f>IF($DA$2&lt;&gt;"",IF(AND(Matches!J27&lt;&gt;"",Matches!K27&lt;&gt;""),Matches!K27,0),"")</f>
        <v>0</v>
      </c>
      <c r="DD26" s="234" t="str">
        <f>Matches!M27</f>
        <v>Colombia</v>
      </c>
      <c r="DE26" s="234" t="str">
        <f>IF(AND(Matches!J27&lt;&gt;"",Matches!K27&lt;&gt;""),IF(DB26&gt;DC26,"W",IF(DB26=DC26,"D","L")),"")</f>
        <v/>
      </c>
      <c r="DF26" s="231" t="str">
        <f t="shared" si="0"/>
        <v/>
      </c>
      <c r="DI26" s="242"/>
      <c r="DQ26" s="238"/>
      <c r="DR26" s="239"/>
      <c r="DS26" s="240" t="str">
        <f t="shared" si="16"/>
        <v>Ecuador</v>
      </c>
      <c r="DT26" s="241" t="s">
        <v>653</v>
      </c>
      <c r="DU26" s="240"/>
      <c r="DV26" s="233">
        <v>20</v>
      </c>
      <c r="DW26" s="242">
        <v>-2.5</v>
      </c>
      <c r="DX26" s="230"/>
      <c r="DY26" s="243">
        <v>20</v>
      </c>
      <c r="DZ26" s="244">
        <f t="shared" si="14"/>
        <v>46189</v>
      </c>
      <c r="EA26" s="245">
        <v>46189</v>
      </c>
      <c r="EB26" s="246">
        <f t="shared" si="15"/>
        <v>46189</v>
      </c>
      <c r="EC26" s="245"/>
      <c r="EE26" s="233" t="str">
        <f>INDEX(Language!$A$1:$K$177,MATCH(Setup!B27,Language!$B$1:$B$177,0),MATCH(Setup!$C$5,Language!$A$1:$J$1,0))</f>
        <v>Ecuador</v>
      </c>
    </row>
    <row r="27" spans="1:135" ht="13.5" customHeight="1" x14ac:dyDescent="0.25">
      <c r="A27" s="230">
        <f>Setup!F22+100</f>
        <v>127</v>
      </c>
      <c r="B27" s="231">
        <f>VLOOKUP(C27,CX$25:CY$29,2,FALSE)</f>
        <v>3</v>
      </c>
      <c r="C27" s="232" t="str">
        <f t="shared" si="45"/>
        <v>Australia</v>
      </c>
      <c r="D27" s="231">
        <f>SUMPRODUCT((DA$3:DA$105=C27)*(DE$3:DE$105="W"))+SUMPRODUCT((DD$3:DD$105=C27)*(DF$3:DF$105="W"))</f>
        <v>0</v>
      </c>
      <c r="E27" s="231">
        <f>SUMPRODUCT((DA$3:DA$105=C27)*(DE$3:DE$105="D"))+SUMPRODUCT((DD$3:DD$105=C27)*(DF$3:DF$105="D"))</f>
        <v>0</v>
      </c>
      <c r="F27" s="231">
        <f>SUMPRODUCT((DA$3:DA$105=C27)*(DE$3:DE$105="L"))+SUMPRODUCT((DD$3:DD$105=C27)*(DF$3:DF$105="L"))</f>
        <v>0</v>
      </c>
      <c r="G27" s="231">
        <f>SUMIF(DA3:DA123,C27,DB3:DB123)+SUMIF(DD3:DD123,C27,DC3:DC123)</f>
        <v>0</v>
      </c>
      <c r="H27" s="231">
        <f>SUMIF(DD3:DD123,C27,DB3:DB123)+SUMIF(DA3:DA123,C27,DC3:DC123)</f>
        <v>0</v>
      </c>
      <c r="I27" s="231">
        <f t="shared" si="41"/>
        <v>1000</v>
      </c>
      <c r="J27" s="231">
        <f t="shared" si="42"/>
        <v>0</v>
      </c>
      <c r="K27" s="231">
        <f>IF(Setup!G22&lt;&gt;"",Setup!G22,-A27)</f>
        <v>-127</v>
      </c>
      <c r="L27" s="231">
        <f>IF(COUNTIF(J25:J29,4)&lt;&gt;4,RANK(J27,J25:J29),J106)</f>
        <v>1</v>
      </c>
      <c r="N27" s="231">
        <f>SUMPRODUCT((L25:L28=L27)*(K25:K28&lt;K27))+L27</f>
        <v>2</v>
      </c>
      <c r="O27" s="232" t="str">
        <f>INDEX(C25:C29,MATCH(3,N25:N29,0),0)</f>
        <v>Türkiye</v>
      </c>
      <c r="P27" s="231">
        <f>INDEX(L25:L29,MATCH(O27,C25:C29,0),0)</f>
        <v>1</v>
      </c>
      <c r="Q27" s="231" t="str">
        <f>IF(AND(Q26&lt;&gt;"",P27=1),O27,"")</f>
        <v>Türkiye</v>
      </c>
      <c r="R27" s="231" t="str">
        <f>IF(AND(R26&lt;&gt;"",P28=2),O28,"")</f>
        <v/>
      </c>
      <c r="S27" s="231" t="str">
        <f>IF(AND(S26&lt;&gt;"",P29=3),O29,"")</f>
        <v/>
      </c>
      <c r="V27" s="231" t="str">
        <f t="shared" si="46"/>
        <v>Türkiye</v>
      </c>
      <c r="W27" s="231">
        <f>SUMPRODUCT((DA$3:DA$105=V27)*(DD$3:DD$105=V28)*(DE$3:DE$105="W"))+SUMPRODUCT((DA$3:DA$105=V27)*(DD$3:DD$105=V29)*(DE$3:DE$105="W"))+SUMPRODUCT((DA$3:DA$105=V27)*(DD$3:DD$105=V25)*(DE$3:DE$105="W"))+SUMPRODUCT((DA$3:DA$105=V27)*(DD$3:DD$105=V26)*(DE$3:DE$105="W"))+SUMPRODUCT((DA$3:DA$105=V28)*(DD$3:DD$105=V27)*(DF$3:DF$105="W"))+SUMPRODUCT((DA$3:DA$105=V29)*(DD$3:DD$105=V27)*(DF$3:DF$105="W"))+SUMPRODUCT((DA$3:DA$105=V25)*(DD$3:DD$105=V27)*(DF$3:DF$105="W"))+SUMPRODUCT((DA$3:DA$105=V26)*(DD$3:DD$105=V27)*(DF$3:DF$105="W"))</f>
        <v>0</v>
      </c>
      <c r="X27" s="231">
        <f>SUMPRODUCT((DA$3:DA$105=V27)*(DD$3:DD$105=V28)*(DE$3:DE$105="D"))+SUMPRODUCT((DA$3:DA$105=V27)*(DD$3:DD$105=V29)*(DE$3:DE$105="D"))+SUMPRODUCT((DA$3:DA$105=V27)*(DD$3:DD$105=V25)*(DE$3:DE$105="D"))+SUMPRODUCT((DA$3:DA$105=V27)*(DD$3:DD$105=V26)*(DE$3:DE$105="D"))+SUMPRODUCT((DA$3:DA$105=V28)*(DD$3:DD$105=V27)*(DE$3:DE$105="D"))+SUMPRODUCT((DA$3:DA$105=V29)*(DD$3:DD$105=V27)*(DE$3:DE$105="D"))+SUMPRODUCT((DA$3:DA$105=V25)*(DD$3:DD$105=V27)*(DE$3:DE$105="D"))+SUMPRODUCT((DA$3:DA$105=V26)*(DD$3:DD$105=V27)*(DE$3:DE$105="D"))</f>
        <v>0</v>
      </c>
      <c r="Y27" s="231">
        <f>SUMPRODUCT((DA$3:DA$105=V27)*(DD$3:DD$105=V28)*(DE$3:DE$105="L"))+SUMPRODUCT((DA$3:DA$105=V27)*(DD$3:DD$105=V29)*(DE$3:DE$105="L"))+SUMPRODUCT((DA$3:DA$105=V27)*(DD$3:DD$105=V25)*(DE$3:DE$105="L"))+SUMPRODUCT((DA$3:DA$105=V27)*(DD$3:DD$105=V26)*(DE$3:DE$105="L"))+SUMPRODUCT((DA$3:DA$105=V28)*(DD$3:DD$105=V27)*(DF$3:DF$105="L"))+SUMPRODUCT((DA$3:DA$105=V29)*(DD$3:DD$105=V27)*(DF$3:DF$105="L"))+SUMPRODUCT((DA$3:DA$105=V25)*(DD$3:DD$105=V27)*(DF$3:DF$105="L"))+SUMPRODUCT((DA$3:DA$105=V26)*(DD$3:DD$105=V27)*(DF$3:DF$105="L"))</f>
        <v>0</v>
      </c>
      <c r="Z27" s="231">
        <f>SUMPRODUCT((DA$3:DA$105=V27)*(DD$3:DD$105=V28)*DB$3:DB$105)+SUMPRODUCT((DA$3:DA$105=V27)*(DD$3:DD$105=V29)*DB$3:DB$105)+SUMPRODUCT((DA$3:DA$105=V27)*(DD$3:DD$105=V25)*DB$3:DB$105)+SUMPRODUCT((DA$3:DA$105=V27)*(DD$3:DD$105=V26)*DB$3:DB$105)+SUMPRODUCT((DA$3:DA$105=V28)*(DD$3:DD$105=V27)*DC$3:DC$105)+SUMPRODUCT((DA$3:DA$105=V29)*(DD$3:DD$105=V27)*DC$3:DC$105)+SUMPRODUCT((DA$3:DA$105=V25)*(DD$3:DD$105=V27)*DC$3:DC$105)+SUMPRODUCT((DA$3:DA$105=V26)*(DD$3:DD$105=V27)*DC$3:DC$105)</f>
        <v>0</v>
      </c>
      <c r="AA27" s="231">
        <f>SUMPRODUCT((DA$3:DA$105=V27)*(DD$3:DD$105=V28)*DC$3:DC$105)+SUMPRODUCT((DA$3:DA$105=V27)*(DD$3:DD$105=V29)*DC$3:DC$105)+SUMPRODUCT((DA$3:DA$105=V27)*(DD$3:DD$105=V25)*DC$3:DC$105)+SUMPRODUCT((DA$3:DA$105=V27)*(DD$3:DD$105=V26)*DC$3:DC$105)+SUMPRODUCT((DA$3:DA$105=V28)*(DD$3:DD$105=V27)*DB$3:DB$105)+SUMPRODUCT((DA$3:DA$105=V29)*(DD$3:DD$105=V27)*DB$3:DB$105)+SUMPRODUCT((DA$3:DA$105=V25)*(DD$3:DD$105=V27)*DB$3:DB$105)+SUMPRODUCT((DA$3:DA$105=V26)*(DD$3:DD$105=V27)*DB$3:DB$105)</f>
        <v>0</v>
      </c>
      <c r="AB27" s="231">
        <f>Z27-AA27+1000</f>
        <v>1000</v>
      </c>
      <c r="AC27" s="231">
        <f t="shared" si="43"/>
        <v>0</v>
      </c>
      <c r="AD27" s="231">
        <f>IF(V27&lt;&gt;"",VLOOKUP(V27,C$4:I$52,7,FALSE),"")</f>
        <v>1000</v>
      </c>
      <c r="AE27" s="231">
        <f>IF(V27&lt;&gt;"",VLOOKUP(V27,C$4:I$52,5,FALSE),"")</f>
        <v>0</v>
      </c>
      <c r="AF27" s="231">
        <f>IF(V27&lt;&gt;"",VLOOKUP(V27,C$4:K$52,9,FALSE),"")</f>
        <v>-125</v>
      </c>
      <c r="AG27" s="231">
        <f t="shared" si="44"/>
        <v>0</v>
      </c>
      <c r="AH27" s="231">
        <f>IF(V27&lt;&gt;"",RANK(AG27,AG25:AG29),"")</f>
        <v>1</v>
      </c>
      <c r="AI27" s="231">
        <f>IF(V27&lt;&gt;"",SUMPRODUCT((AG25:AG29=AG27)*(AB25:AB29&gt;AB27)),"")</f>
        <v>0</v>
      </c>
      <c r="AJ27" s="231">
        <f>IF(V27&lt;&gt;"",SUMPRODUCT((AG25:AG29=AG27)*(AB25:AB29=AB27)*(Z25:Z29&gt;Z27)),"")</f>
        <v>0</v>
      </c>
      <c r="AK27" s="231">
        <f>IF(V27&lt;&gt;"",SUMPRODUCT((AG25:AG29=AG27)*(AB25:AB29=AB27)*(Z25:Z29=Z27)*(AD25:AD29&gt;AD27)),"")</f>
        <v>0</v>
      </c>
      <c r="AL27" s="231">
        <f>IF(V27&lt;&gt;"",SUMPRODUCT((AG25:AG29=AG27)*(AB25:AB29=AB27)*(Z25:Z29=Z27)*(AD25:AD29=AD27)*(AE25:AE29&gt;AE27)),"")</f>
        <v>0</v>
      </c>
      <c r="AM27" s="231">
        <f>IF(V27&lt;&gt;"",SUMPRODUCT((AG25:AG29=AG27)*(AB25:AB29=AB27)*(Z25:Z29=Z27)*(AD25:AD29=AD27)*(AE25:AE29=AE27)*(AF25:AF29&gt;AF27)),"")</f>
        <v>1</v>
      </c>
      <c r="AN27" s="231">
        <f>IF(V27&lt;&gt;"",IF(AN106&lt;&gt;"",IF(U103=3,AN106,AN106+U103),SUM(AH27:AM27)),"")</f>
        <v>2</v>
      </c>
      <c r="AO27" s="231" t="str">
        <f>IF(V27&lt;&gt;"",INDEX(V25:V29,MATCH(3,AN25:AN29,0),0),"")</f>
        <v>Australia</v>
      </c>
      <c r="AP27" s="231" t="str">
        <f>IF(R26&lt;&gt;"",R26,"")</f>
        <v/>
      </c>
      <c r="AQ27" s="231">
        <f>SUMPRODUCT((DA$3:DA$105=AP27)*(DD$3:DD$105=AP28)*(DE$3:DE$105="W"))+SUMPRODUCT((DA$3:DA$105=AP27)*(DD$3:DD$105=AP29)*(DE$3:DE$105="W"))+SUMPRODUCT((DA$3:DA$105=AP27)*(DD$3:DD$105=AP26)*(DE$3:DE$105="W"))+SUMPRODUCT((DA$3:DA$105=AP28)*(DD$3:DD$105=AP27)*(DF$3:DF$105="W"))+SUMPRODUCT((DA$3:DA$105=AP29)*(DD$3:DD$105=AP27)*(DF$3:DF$105="W"))+SUMPRODUCT((DA$3:DA$105=AP26)*(DD$3:DD$105=AP27)*(DF$3:DF$105="W"))</f>
        <v>0</v>
      </c>
      <c r="AR27" s="231">
        <f>SUMPRODUCT((DA$3:DA$105=AP27)*(DD$3:DD$105=AP28)*(DE$3:DE$105="D"))+SUMPRODUCT((DA$3:DA$105=AP27)*(DD$3:DD$105=AP29)*(DE$3:DE$105="D"))+SUMPRODUCT((DA$3:DA$105=AP27)*(DD$3:DD$105=AP26)*(DE$3:DE$105="D"))+SUMPRODUCT((DA$3:DA$105=AP28)*(DD$3:DD$105=AP27)*(DE$3:DE$105="D"))+SUMPRODUCT((DA$3:DA$105=AP29)*(DD$3:DD$105=AP27)*(DE$3:DE$105="D"))+SUMPRODUCT((DA$3:DA$105=AP26)*(DD$3:DD$105=AP27)*(DE$3:DE$105="D"))</f>
        <v>0</v>
      </c>
      <c r="AS27" s="231">
        <f>SUMPRODUCT((DA$3:DA$105=AP27)*(DD$3:DD$105=AP28)*(DE$3:DE$105="L"))+SUMPRODUCT((DA$3:DA$105=AP27)*(DD$3:DD$105=AP29)*(DE$3:DE$105="L"))+SUMPRODUCT((DA$3:DA$105=AP27)*(DD$3:DD$105=AP26)*(DE$3:DE$105="L"))+SUMPRODUCT((DA$3:DA$105=AP28)*(DD$3:DD$105=AP27)*(DF$3:DF$105="L"))+SUMPRODUCT((DA$3:DA$105=AP29)*(DD$3:DD$105=AP27)*(DF$3:DF$105="L"))+SUMPRODUCT((DA$3:DA$105=AP26)*(DD$3:DD$105=AP27)*(DF$3:DF$105="L"))</f>
        <v>0</v>
      </c>
      <c r="AT27" s="231">
        <f>SUMPRODUCT((DA$3:DA$105=AP27)*(DD$3:DD$105=AP28)*DB$3:DB$105)+SUMPRODUCT((DA$3:DA$105=AP27)*(DD$3:DD$105=AP29)*DB$3:DB$105)+SUMPRODUCT((DA$3:DA$105=AP27)*(DD$3:DD$105=AP25)*DB$3:DB$105)+SUMPRODUCT((DA$3:DA$105=AP27)*(DD$3:DD$105=AP26)*DB$3:DB$105)+SUMPRODUCT((DA$3:DA$105=AP28)*(DD$3:DD$105=AP27)*DC$3:DC$105)+SUMPRODUCT((DA$3:DA$105=AP29)*(DD$3:DD$105=AP27)*DC$3:DC$105)+SUMPRODUCT((DA$3:DA$105=AP25)*(DD$3:DD$105=AP27)*DC$3:DC$105)+SUMPRODUCT((DA$3:DA$105=AP26)*(DD$3:DD$105=AP27)*DC$3:DC$105)</f>
        <v>0</v>
      </c>
      <c r="AU27" s="231">
        <f>SUMPRODUCT((DA$3:DA$105=AP27)*(DD$3:DD$105=AP28)*DC$3:DC$105)+SUMPRODUCT((DA$3:DA$105=AP27)*(DD$3:DD$105=AP29)*DC$3:DC$105)+SUMPRODUCT((DA$3:DA$105=AP27)*(DD$3:DD$105=AP25)*DC$3:DC$105)+SUMPRODUCT((DA$3:DA$105=AP27)*(DD$3:DD$105=AP26)*DC$3:DC$105)+SUMPRODUCT((DA$3:DA$105=AP28)*(DD$3:DD$105=AP27)*DB$3:DB$105)+SUMPRODUCT((DA$3:DA$105=AP29)*(DD$3:DD$105=AP27)*DB$3:DB$105)+SUMPRODUCT((DA$3:DA$105=AP25)*(DD$3:DD$105=AP27)*DB$3:DB$105)+SUMPRODUCT((DA$3:DA$105=AP26)*(DD$3:DD$105=AP27)*DB$3:DB$105)</f>
        <v>0</v>
      </c>
      <c r="AV27" s="231">
        <f>AT27-AU27+1000</f>
        <v>1000</v>
      </c>
      <c r="AW27" s="231" t="str">
        <f t="shared" si="47"/>
        <v/>
      </c>
      <c r="AX27" s="231" t="str">
        <f>IF(AP27&lt;&gt;"",VLOOKUP(AP27,C$4:I$52,7,FALSE),"")</f>
        <v/>
      </c>
      <c r="AY27" s="231" t="str">
        <f>IF(AP27&lt;&gt;"",VLOOKUP(AP27,C$4:I$52,5,FALSE),"")</f>
        <v/>
      </c>
      <c r="AZ27" s="231" t="str">
        <f>IF(AP27&lt;&gt;"",VLOOKUP(AP27,C$4:K$52,9,FALSE),"")</f>
        <v/>
      </c>
      <c r="BA27" s="231" t="str">
        <f t="shared" si="48"/>
        <v/>
      </c>
      <c r="BB27" s="231" t="str">
        <f>IF(AP27&lt;&gt;"",RANK(BA27,BA25:BA29),"")</f>
        <v/>
      </c>
      <c r="BC27" s="231" t="str">
        <f>IF(AP27&lt;&gt;"",SUMPRODUCT((BA25:BA29=BA27)*(AV25:AV29&gt;AV27)),"")</f>
        <v/>
      </c>
      <c r="BD27" s="231" t="str">
        <f>IF(AP27&lt;&gt;"",SUMPRODUCT((BA25:BA29=BA27)*(AV25:AV29=AV27)*(AT25:AT29&gt;AT27)),"")</f>
        <v/>
      </c>
      <c r="BE27" s="231" t="str">
        <f>IF(AP27&lt;&gt;"",SUMPRODUCT((BA25:BA29=BA27)*(AV25:AV29=AV27)*(AT25:AT29=AT27)*(AX25:AX29&gt;AX27)),"")</f>
        <v/>
      </c>
      <c r="BF27" s="231" t="str">
        <f>IF(AP27&lt;&gt;"",SUMPRODUCT((BA25:BA29=BA27)*(AV25:AV29=AV27)*(AT25:AT29=AT27)*(AX25:AX29=AX27)*(AY25:AY29&gt;AY27)),"")</f>
        <v/>
      </c>
      <c r="BG27" s="231" t="str">
        <f>IF(AP27&lt;&gt;"",SUMPRODUCT((BA25:BA29=BA27)*(AV25:AV29=AV27)*(AT25:AT29=AT27)*(AX25:AX29=AX27)*(AY25:AY29=AY27)*(AZ25:AZ29&gt;AZ27)),"")</f>
        <v/>
      </c>
      <c r="BH27" s="231" t="str">
        <f>IF(AP27&lt;&gt;"",IF(BH106&lt;&gt;"",IF(AO103=3,BH106,BH106+AO103),SUM(BB27:BG27)+1),"")</f>
        <v/>
      </c>
      <c r="BI27" s="231" t="str">
        <f>IF(AP27&lt;&gt;"",INDEX(AP26:AP29,MATCH(3,BH26:BH29,0),0),"")</f>
        <v/>
      </c>
      <c r="BJ27" s="231" t="str">
        <f>IF(S25&lt;&gt;"",S25,"")</f>
        <v/>
      </c>
      <c r="BK27" s="231">
        <f>SUMPRODUCT((DA$3:DA$105=BJ27)*(DD$3:DD$105=BJ28)*(DE$3:DE$105="W"))+SUMPRODUCT((DA$3:DA$105=BJ27)*(DD$3:DD$105=BJ29)*(DE$3:DE$105="W"))+SUMPRODUCT((DA$3:DA$105=BJ27)*(DD$3:DD$105=BJ30)*(DE$3:DE$105="W"))+SUMPRODUCT((DA$3:DA$105=BJ28)*(DD$3:DD$105=BJ27)*(DF$3:DF$105="W"))+SUMPRODUCT((DA$3:DA$105=BJ29)*(DD$3:DD$105=BJ27)*(DF$3:DF$105="W"))+SUMPRODUCT((DA$3:DA$105=BJ30)*(DD$3:DD$105=BJ27)*(DF$3:DF$105="W"))</f>
        <v>0</v>
      </c>
      <c r="BL27" s="231">
        <f>SUMPRODUCT((DA$3:DA$105=BJ27)*(DD$3:DD$105=BJ28)*(DE$3:DE$105="D"))+SUMPRODUCT((DA$3:DA$105=BJ27)*(DD$3:DD$105=BJ29)*(DE$3:DE$105="D"))+SUMPRODUCT((DA$3:DA$105=BJ27)*(DD$3:DD$105=BJ30)*(DE$3:DE$105="D"))+SUMPRODUCT((DA$3:DA$105=BJ28)*(DD$3:DD$105=BJ27)*(DE$3:DE$105="D"))+SUMPRODUCT((DA$3:DA$105=BJ29)*(DD$3:DD$105=BJ27)*(DE$3:DE$105="D"))+SUMPRODUCT((DA$3:DA$105=BJ30)*(DD$3:DD$105=BJ27)*(DE$3:DE$105="D"))</f>
        <v>0</v>
      </c>
      <c r="BM27" s="231">
        <f>SUMPRODUCT((DA$3:DA$105=BJ27)*(DD$3:DD$105=BJ28)*(DE$3:DE$105="L"))+SUMPRODUCT((DA$3:DA$105=BJ27)*(DD$3:DD$105=BJ29)*(DE$3:DE$105="L"))+SUMPRODUCT((DA$3:DA$105=BJ27)*(DD$3:DD$105=BJ30)*(DE$3:DE$105="L"))+SUMPRODUCT((DA$3:DA$105=BJ28)*(DD$3:DD$105=BJ27)*(DF$3:DF$105="L"))+SUMPRODUCT((DA$3:DA$105=BJ29)*(DD$3:DD$105=BJ27)*(DF$3:DF$105="L"))+SUMPRODUCT((DA$3:DA$105=BJ30)*(DD$3:DD$105=BJ27)*(DF$3:DF$105="L"))</f>
        <v>0</v>
      </c>
      <c r="BN27" s="231">
        <f>SUMPRODUCT((DA$3:DA$105=BJ27)*(DD$3:DD$105=BJ28)*DB$3:DB$105)+SUMPRODUCT((DA$3:DA$105=BJ27)*(DD$3:DD$105=BJ29)*DB$3:DB$105)+SUMPRODUCT((DA$3:DA$105=BJ27)*(DD$3:DD$105=BJ25)*DB$3:DB$105)+SUMPRODUCT((DA$3:DA$105=BJ27)*(DD$3:DD$105=BJ26)*DB$3:DB$105)+SUMPRODUCT((DA$3:DA$105=BJ28)*(DD$3:DD$105=BJ27)*DC$3:DC$105)+SUMPRODUCT((DA$3:DA$105=BJ29)*(DD$3:DD$105=BJ27)*DC$3:DC$105)+SUMPRODUCT((DA$3:DA$105=BJ25)*(DD$3:DD$105=BJ27)*DC$3:DC$105)+SUMPRODUCT((DA$3:DA$105=BJ26)*(DD$3:DD$105=BJ27)*DC$3:DC$105)</f>
        <v>0</v>
      </c>
      <c r="BO27" s="231">
        <f>SUMPRODUCT((DA$3:DA$105=BJ27)*(DD$3:DD$105=BJ28)*DC$3:DC$105)+SUMPRODUCT((DA$3:DA$105=BJ27)*(DD$3:DD$105=BJ29)*DC$3:DC$105)+SUMPRODUCT((DA$3:DA$105=BJ27)*(DD$3:DD$105=BJ25)*DC$3:DC$105)+SUMPRODUCT((DA$3:DA$105=BJ27)*(DD$3:DD$105=BJ26)*DC$3:DC$105)+SUMPRODUCT((DA$3:DA$105=BJ28)*(DD$3:DD$105=BJ27)*DB$3:DB$105)+SUMPRODUCT((DA$3:DA$105=BJ29)*(DD$3:DD$105=BJ27)*DB$3:DB$105)+SUMPRODUCT((DA$3:DA$105=BJ25)*(DD$3:DD$105=BJ27)*DB$3:DB$105)+SUMPRODUCT((DA$3:DA$105=BJ26)*(DD$3:DD$105=BJ27)*DB$3:DB$105)</f>
        <v>0</v>
      </c>
      <c r="BP27" s="231">
        <f>BN27-BO27+1000</f>
        <v>1000</v>
      </c>
      <c r="BQ27" s="231" t="str">
        <f>IF(BJ27&lt;&gt;"",BK27*3+BL27*1,"")</f>
        <v/>
      </c>
      <c r="BR27" s="231" t="str">
        <f>IF(BJ27&lt;&gt;"",VLOOKUP(BJ27,C$4:I$52,7,FALSE),"")</f>
        <v/>
      </c>
      <c r="BS27" s="231" t="str">
        <f>IF(BJ27&lt;&gt;"",VLOOKUP(BJ27,C$4:I$52,5,FALSE),"")</f>
        <v/>
      </c>
      <c r="BT27" s="231" t="str">
        <f>IF(BJ27&lt;&gt;"",VLOOKUP(BJ27,C$4:K$52,9,FALSE),"")</f>
        <v/>
      </c>
      <c r="BU27" s="231" t="str">
        <f t="shared" ref="BU27:BU28" si="49">BQ27</f>
        <v/>
      </c>
      <c r="BV27" s="231" t="str">
        <f>IF(BJ27&lt;&gt;"",RANK(BU27,BU25:BU29),"")</f>
        <v/>
      </c>
      <c r="BW27" s="231" t="str">
        <f>IF(BJ27&lt;&gt;"",SUMPRODUCT((BU25:BU29=BU27)*(BP25:BP29&gt;BP27)),"")</f>
        <v/>
      </c>
      <c r="BX27" s="231" t="str">
        <f>IF(BJ27&lt;&gt;"",SUMPRODUCT((BU25:BU29=BU27)*(BP25:BP29=BP27)*(BN25:BN29&gt;BN27)),"")</f>
        <v/>
      </c>
      <c r="BY27" s="231" t="str">
        <f>IF(BJ27&lt;&gt;"",SUMPRODUCT((BU25:BU29=BU27)*(BP25:BP29=BP27)*(BN25:BN29=BN27)*(BR25:BR29&gt;BR27)),"")</f>
        <v/>
      </c>
      <c r="BZ27" s="231" t="str">
        <f>IF(BJ27&lt;&gt;"",SUMPRODUCT((BU25:BU29=BU27)*(BP25:BP29=BP27)*(BN25:BN29=BN27)*(BR25:BR29=BR27)*(BS25:BS29&gt;BS27)),"")</f>
        <v/>
      </c>
      <c r="CA27" s="231" t="str">
        <f>IF(BJ27&lt;&gt;"",SUMPRODUCT((BU25:BU29=BU27)*(BP25:BP29=BP27)*(BN25:BN29=BN27)*(BR25:BR29=BR27)*(BS25:BS29=BS27)*(BT25:BT29&gt;BT27)),"")</f>
        <v/>
      </c>
      <c r="CB27" s="231" t="str">
        <f>IF(BJ27&lt;&gt;"",SUM(BV27:CA27)+2,"")</f>
        <v/>
      </c>
      <c r="CC27" s="231" t="str">
        <f>IF(BJ27&lt;&gt;"",INDEX(BJ27:BJ29,MATCH(3,CB27:CB29,0),0),"")</f>
        <v/>
      </c>
      <c r="CX27" s="231" t="str">
        <f>IF(CC27&lt;&gt;"",CC27,IF(BI27&lt;&gt;"",BI27,IF(AO27&lt;&gt;"",AO27,O27)))</f>
        <v>Australia</v>
      </c>
      <c r="CY27" s="231">
        <v>3</v>
      </c>
      <c r="CZ27" s="231">
        <v>25</v>
      </c>
      <c r="DA27" s="234" t="str">
        <f>Matches!H28</f>
        <v>Czechia</v>
      </c>
      <c r="DB27" s="234">
        <f>IF($DA$2&lt;&gt;"",IF(AND(Matches!J28&lt;&gt;"",Matches!K28&lt;&gt;""),Matches!J28,0),"")</f>
        <v>0</v>
      </c>
      <c r="DC27" s="234">
        <f>IF($DA$2&lt;&gt;"",IF(AND(Matches!J28&lt;&gt;"",Matches!K28&lt;&gt;""),Matches!K28,0),"")</f>
        <v>0</v>
      </c>
      <c r="DD27" s="234" t="str">
        <f>Matches!M28</f>
        <v>South Africa</v>
      </c>
      <c r="DE27" s="234" t="str">
        <f>IF(AND(Matches!J28&lt;&gt;"",Matches!K28&lt;&gt;""),IF(DB27&gt;DC27,"W",IF(DB27=DC27,"D","L")),"")</f>
        <v/>
      </c>
      <c r="DF27" s="231" t="str">
        <f t="shared" si="0"/>
        <v/>
      </c>
      <c r="DI27" s="242"/>
      <c r="DQ27" s="238" t="s">
        <v>75</v>
      </c>
      <c r="DR27" s="239"/>
      <c r="DS27" s="240" t="str">
        <f t="shared" si="16"/>
        <v>Netherlands</v>
      </c>
      <c r="DT27" s="241" t="s">
        <v>654</v>
      </c>
      <c r="DU27" s="240"/>
      <c r="DV27" s="233">
        <v>21</v>
      </c>
      <c r="DW27" s="242">
        <v>-2</v>
      </c>
      <c r="DX27" s="230"/>
      <c r="DY27" s="243">
        <v>21</v>
      </c>
      <c r="DZ27" s="244">
        <f t="shared" si="14"/>
        <v>46190.791666666664</v>
      </c>
      <c r="EA27" s="245">
        <v>46190.791666666664</v>
      </c>
      <c r="EB27" s="246">
        <f t="shared" si="15"/>
        <v>46190.791666666664</v>
      </c>
      <c r="EC27" s="245"/>
      <c r="EE27" s="233" t="str">
        <f>INDEX(Language!$A$1:$K$177,MATCH(Setup!B28,Language!$B$1:$B$177,0),MATCH(Setup!$C$5,Language!$A$1:$J$1,0))</f>
        <v>Netherlands</v>
      </c>
    </row>
    <row r="28" spans="1:135" ht="13.5" customHeight="1" x14ac:dyDescent="0.25">
      <c r="A28" s="230">
        <f>Setup!F23+100</f>
        <v>125</v>
      </c>
      <c r="B28" s="231">
        <f>VLOOKUP(C28,CX$25:CY$29,2,FALSE)</f>
        <v>2</v>
      </c>
      <c r="C28" s="232" t="str">
        <f t="shared" si="45"/>
        <v>Türkiye</v>
      </c>
      <c r="D28" s="231">
        <f>SUMPRODUCT((DA$3:DA$105=C28)*(DE$3:DE$105="W"))+SUMPRODUCT((DD$3:DD$105=C28)*(DF$3:DF$105="W"))</f>
        <v>0</v>
      </c>
      <c r="E28" s="231">
        <f>SUMPRODUCT((DA$3:DA$105=C28)*(DE$3:DE$105="D"))+SUMPRODUCT((DD$3:DD$105=C28)*(DF$3:DF$105="D"))</f>
        <v>0</v>
      </c>
      <c r="F28" s="231">
        <f>SUMPRODUCT((DA$3:DA$105=C28)*(DE$3:DE$105="L"))+SUMPRODUCT((DD$3:DD$105=C28)*(DF$3:DF$105="L"))</f>
        <v>0</v>
      </c>
      <c r="G28" s="231">
        <f>SUMIF(DA3:DA123,C28,DB3:DB123)+SUMIF(DD3:DD123,C28,DC3:DC123)</f>
        <v>0</v>
      </c>
      <c r="H28" s="231">
        <f>SUMIF(DD3:DD123,C28,DB3:DB123)+SUMIF(DA3:DA123,C28,DC3:DC123)</f>
        <v>0</v>
      </c>
      <c r="I28" s="231">
        <f t="shared" si="41"/>
        <v>1000</v>
      </c>
      <c r="J28" s="231">
        <f t="shared" si="42"/>
        <v>0</v>
      </c>
      <c r="K28" s="231">
        <f>IF(Setup!G23&lt;&gt;"",Setup!G23,-A28)</f>
        <v>-125</v>
      </c>
      <c r="L28" s="231">
        <f>IF(COUNTIF(J25:J29,4)&lt;&gt;4,RANK(J28,J25:J29),J107)</f>
        <v>1</v>
      </c>
      <c r="N28" s="231">
        <f>SUMPRODUCT((L25:L28=L28)*(K25:K28&lt;K28))+L28</f>
        <v>3</v>
      </c>
      <c r="O28" s="232" t="str">
        <f>INDEX(C25:C29,MATCH(4,N25:N29,0),0)</f>
        <v>USA</v>
      </c>
      <c r="P28" s="231">
        <f>INDEX(L25:L29,MATCH(O28,C25:C29,0),0)</f>
        <v>1</v>
      </c>
      <c r="Q28" s="231" t="str">
        <f>IF(AND(Q27&lt;&gt;"",P28=1),O28,"")</f>
        <v>USA</v>
      </c>
      <c r="R28" s="231" t="str">
        <f>IF(AND(R27&lt;&gt;"",P29=2),O29,"")</f>
        <v/>
      </c>
      <c r="V28" s="231" t="str">
        <f t="shared" si="46"/>
        <v>USA</v>
      </c>
      <c r="W28" s="231">
        <f>SUMPRODUCT((DA$3:DA$105=V28)*(DD$3:DD$105=V29)*(DE$3:DE$105="W"))+SUMPRODUCT((DA$3:DA$105=V28)*(DD$3:DD$105=V25)*(DE$3:DE$105="W"))+SUMPRODUCT((DA$3:DA$105=V28)*(DD$3:DD$105=V26)*(DE$3:DE$105="W"))+SUMPRODUCT((DA$3:DA$105=V28)*(DD$3:DD$105=V27)*(DE$3:DE$105="W"))+SUMPRODUCT((DA$3:DA$105=V29)*(DD$3:DD$105=V28)*(DF$3:DF$105="W"))+SUMPRODUCT((DA$3:DA$105=V25)*(DD$3:DD$105=V28)*(DF$3:DF$105="W"))+SUMPRODUCT((DA$3:DA$105=V26)*(DD$3:DD$105=V28)*(DF$3:DF$105="W"))+SUMPRODUCT((DA$3:DA$105=V27)*(DD$3:DD$105=V28)*(DF$3:DF$105="W"))</f>
        <v>0</v>
      </c>
      <c r="X28" s="231">
        <f>SUMPRODUCT((DA$3:DA$105=V28)*(DD$3:DD$105=V29)*(DE$3:DE$105="D"))+SUMPRODUCT((DA$3:DA$105=V28)*(DD$3:DD$105=V25)*(DE$3:DE$105="D"))+SUMPRODUCT((DA$3:DA$105=V28)*(DD$3:DD$105=V26)*(DE$3:DE$105="D"))+SUMPRODUCT((DA$3:DA$105=V28)*(DD$3:DD$105=V27)*(DE$3:DE$105="D"))+SUMPRODUCT((DA$3:DA$105=V29)*(DD$3:DD$105=V28)*(DE$3:DE$105="D"))+SUMPRODUCT((DA$3:DA$105=V25)*(DD$3:DD$105=V28)*(DE$3:DE$105="D"))+SUMPRODUCT((DA$3:DA$105=V26)*(DD$3:DD$105=V28)*(DE$3:DE$105="D"))+SUMPRODUCT((DA$3:DA$105=V27)*(DD$3:DD$105=V28)*(DE$3:DE$105="D"))</f>
        <v>0</v>
      </c>
      <c r="Y28" s="231">
        <f>SUMPRODUCT((DA$3:DA$105=V28)*(DD$3:DD$105=V29)*(DE$3:DE$105="L"))+SUMPRODUCT((DA$3:DA$105=V28)*(DD$3:DD$105=V25)*(DE$3:DE$105="L"))+SUMPRODUCT((DA$3:DA$105=V28)*(DD$3:DD$105=V26)*(DE$3:DE$105="L"))+SUMPRODUCT((DA$3:DA$105=V28)*(DD$3:DD$105=V27)*(DE$3:DE$105="L"))+SUMPRODUCT((DA$3:DA$105=V29)*(DD$3:DD$105=V28)*(DF$3:DF$105="L"))+SUMPRODUCT((DA$3:DA$105=V25)*(DD$3:DD$105=V28)*(DF$3:DF$105="L"))+SUMPRODUCT((DA$3:DA$105=V26)*(DD$3:DD$105=V28)*(DF$3:DF$105="L"))+SUMPRODUCT((DA$3:DA$105=V27)*(DD$3:DD$105=V28)*(DF$3:DF$105="L"))</f>
        <v>0</v>
      </c>
      <c r="Z28" s="231">
        <f>SUMPRODUCT((DA$3:DA$105=V28)*(DD$3:DD$105=V29)*DB$3:DB$105)+SUMPRODUCT((DA$3:DA$105=V28)*(DD$3:DD$105=V25)*DB$3:DB$105)+SUMPRODUCT((DA$3:DA$105=V28)*(DD$3:DD$105=V26)*DB$3:DB$105)+SUMPRODUCT((DA$3:DA$105=V28)*(DD$3:DD$105=V27)*DB$3:DB$105)+SUMPRODUCT((DA$3:DA$105=V29)*(DD$3:DD$105=V28)*DC$3:DC$105)+SUMPRODUCT((DA$3:DA$105=V25)*(DD$3:DD$105=V28)*DC$3:DC$105)+SUMPRODUCT((DA$3:DA$105=V26)*(DD$3:DD$105=V28)*DC$3:DC$105)+SUMPRODUCT((DA$3:DA$105=V27)*(DD$3:DD$105=V28)*DC$3:DC$105)</f>
        <v>0</v>
      </c>
      <c r="AA28" s="231">
        <f>SUMPRODUCT((DA$3:DA$105=V28)*(DD$3:DD$105=V29)*DC$3:DC$105)+SUMPRODUCT((DA$3:DA$105=V28)*(DD$3:DD$105=V25)*DC$3:DC$105)+SUMPRODUCT((DA$3:DA$105=V28)*(DD$3:DD$105=V26)*DC$3:DC$105)+SUMPRODUCT((DA$3:DA$105=V28)*(DD$3:DD$105=V27)*DC$3:DC$105)+SUMPRODUCT((DA$3:DA$105=V29)*(DD$3:DD$105=V28)*DB$3:DB$105)+SUMPRODUCT((DA$3:DA$105=V25)*(DD$3:DD$105=V28)*DB$3:DB$105)+SUMPRODUCT((DA$3:DA$105=V26)*(DD$3:DD$105=V28)*DB$3:DB$105)+SUMPRODUCT((DA$3:DA$105=V27)*(DD$3:DD$105=V28)*DB$3:DB$105)</f>
        <v>0</v>
      </c>
      <c r="AB28" s="231">
        <f>Z28-AA28+1000</f>
        <v>1000</v>
      </c>
      <c r="AC28" s="231">
        <f t="shared" si="43"/>
        <v>0</v>
      </c>
      <c r="AD28" s="231">
        <f>IF(V28&lt;&gt;"",VLOOKUP(V28,C$4:I$52,7,FALSE),"")</f>
        <v>1000</v>
      </c>
      <c r="AE28" s="231">
        <f>IF(V28&lt;&gt;"",VLOOKUP(V28,C$4:I$52,5,FALSE),"")</f>
        <v>0</v>
      </c>
      <c r="AF28" s="231">
        <f>IF(V28&lt;&gt;"",VLOOKUP(V28,C$4:K$52,9,FALSE),"")</f>
        <v>-115</v>
      </c>
      <c r="AG28" s="231">
        <f t="shared" si="44"/>
        <v>0</v>
      </c>
      <c r="AH28" s="231">
        <f>IF(V28&lt;&gt;"",RANK(AG28,AG25:AG29),"")</f>
        <v>1</v>
      </c>
      <c r="AI28" s="231">
        <f>IF(V28&lt;&gt;"",SUMPRODUCT((AG25:AG29=AG28)*(AB25:AB29&gt;AB28)),"")</f>
        <v>0</v>
      </c>
      <c r="AJ28" s="231">
        <f>IF(V28&lt;&gt;"",SUMPRODUCT((AG25:AG29=AG28)*(AB25:AB29=AB28)*(Z25:Z29&gt;Z28)),"")</f>
        <v>0</v>
      </c>
      <c r="AK28" s="231">
        <f>IF(V28&lt;&gt;"",SUMPRODUCT((AG25:AG29=AG28)*(AB25:AB29=AB28)*(Z25:Z29=Z28)*(AD25:AD29&gt;AD28)),"")</f>
        <v>0</v>
      </c>
      <c r="AL28" s="231">
        <f>IF(V28&lt;&gt;"",SUMPRODUCT((AG25:AG29=AG28)*(AB25:AB29=AB28)*(Z25:Z29=Z28)*(AD25:AD29=AD28)*(AE25:AE29&gt;AE28)),"")</f>
        <v>0</v>
      </c>
      <c r="AM28" s="231">
        <f>IF(V28&lt;&gt;"",SUMPRODUCT((AG25:AG29=AG28)*(AB25:AB29=AB28)*(Z25:Z29=Z28)*(AD25:AD29=AD28)*(AE25:AE29=AE28)*(AF25:AF29&gt;AF28)),"")</f>
        <v>0</v>
      </c>
      <c r="AN28" s="231">
        <f>IF(V28&lt;&gt;"",IF(AN107&lt;&gt;"",IF(U103=3,AN107,AN107+U103),SUM(AH28:AM28)),"")</f>
        <v>1</v>
      </c>
      <c r="AO28" s="231" t="str">
        <f>IF(V28&lt;&gt;"",INDEX(V25:V29,MATCH(4,AN25:AN29,0),0),"")</f>
        <v>Paraguay</v>
      </c>
      <c r="AP28" s="231" t="str">
        <f>IF(R27&lt;&gt;"",R27,"")</f>
        <v/>
      </c>
      <c r="AQ28" s="231" t="str">
        <f>IF(AP28&lt;&gt;"",SUMPRODUCT((DA$3:DA$105=AP28)*(DD$3:DD$105=AP29)*(DE$3:DE$105="W"))+SUMPRODUCT((DA$3:DA$105=AP28)*(DD$3:DD$105=AP26)*(DE$3:DE$105="W"))+SUMPRODUCT((DA$3:DA$105=AP28)*(DD$3:DD$105=AP27)*(DE$3:DE$105="W"))+SUMPRODUCT((DA$3:DA$105=AP29)*(DD$3:DD$105=AP28)*(DF$3:DF$105="W"))+SUMPRODUCT((DA$3:DA$105=AP26)*(DD$3:DD$105=AP28)*(DF$3:DF$105="W"))+SUMPRODUCT((DA$3:DA$105=AP27)*(DD$3:DD$105=AP28)*(DF$3:DF$105="W")),"")</f>
        <v/>
      </c>
      <c r="AR28" s="231" t="str">
        <f>IF(AP28&lt;&gt;"",SUMPRODUCT((DA$3:DA$105=AP28)*(DD$3:DD$105=AP29)*(DE$3:DE$105="D"))+SUMPRODUCT((DA$3:DA$105=AP28)*(DD$3:DD$105=AP26)*(DE$3:DE$105="D"))+SUMPRODUCT((DA$3:DA$105=AP28)*(DD$3:DD$105=AP27)*(DE$3:DE$105="D"))+SUMPRODUCT((DA$3:DA$105=AP29)*(DD$3:DD$105=AP28)*(DE$3:DE$105="D"))+SUMPRODUCT((DA$3:DA$105=AP26)*(DD$3:DD$105=AP28)*(DE$3:DE$105="D"))+SUMPRODUCT((DA$3:DA$105=AP27)*(DD$3:DD$105=AP28)*(DE$3:DE$105="D")),"")</f>
        <v/>
      </c>
      <c r="AS28" s="231" t="str">
        <f>IF(AP28&lt;&gt;"",SUMPRODUCT((DA$3:DA$105=AP28)*(DD$3:DD$105=AP29)*(DE$3:DE$105="L"))+SUMPRODUCT((DA$3:DA$105=AP28)*(DD$3:DD$105=AP26)*(DE$3:DE$105="L"))+SUMPRODUCT((DA$3:DA$105=AP28)*(DD$3:DD$105=AP27)*(DE$3:DE$105="L"))+SUMPRODUCT((DA$3:DA$105=AP29)*(DD$3:DD$105=AP28)*(DF$3:DF$105="L"))+SUMPRODUCT((DA$3:DA$105=AP26)*(DD$3:DD$105=AP28)*(DF$3:DF$105="L"))+SUMPRODUCT((DA$3:DA$105=AP27)*(DD$3:DD$105=AP28)*(DF$3:DF$105="L")),"")</f>
        <v/>
      </c>
      <c r="AT28" s="231">
        <f>SUMPRODUCT((DA$3:DA$105=AP28)*(DD$3:DD$105=AP29)*DB$3:DB$105)+SUMPRODUCT((DA$3:DA$105=AP28)*(DD$3:DD$105=AP25)*DB$3:DB$105)+SUMPRODUCT((DA$3:DA$105=AP28)*(DD$3:DD$105=AP26)*DB$3:DB$105)+SUMPRODUCT((DA$3:DA$105=AP28)*(DD$3:DD$105=AP27)*DB$3:DB$105)+SUMPRODUCT((DA$3:DA$105=AP29)*(DD$3:DD$105=AP28)*DC$3:DC$105)+SUMPRODUCT((DA$3:DA$105=AP25)*(DD$3:DD$105=AP28)*DC$3:DC$105)+SUMPRODUCT((DA$3:DA$105=AP26)*(DD$3:DD$105=AP28)*DC$3:DC$105)+SUMPRODUCT((DA$3:DA$105=AP27)*(DD$3:DD$105=AP28)*DC$3:DC$105)</f>
        <v>0</v>
      </c>
      <c r="AU28" s="231">
        <f>SUMPRODUCT((DA$3:DA$105=AP28)*(DD$3:DD$105=AP29)*DC$3:DC$105)+SUMPRODUCT((DA$3:DA$105=AP28)*(DD$3:DD$105=AP25)*DC$3:DC$105)+SUMPRODUCT((DA$3:DA$105=AP28)*(DD$3:DD$105=AP26)*DC$3:DC$105)+SUMPRODUCT((DA$3:DA$105=AP28)*(DD$3:DD$105=AP27)*DC$3:DC$105)+SUMPRODUCT((DA$3:DA$105=AP29)*(DD$3:DD$105=AP28)*DB$3:DB$105)+SUMPRODUCT((DA$3:DA$105=AP25)*(DD$3:DD$105=AP28)*DB$3:DB$105)+SUMPRODUCT((DA$3:DA$105=AP26)*(DD$3:DD$105=AP28)*DB$3:DB$105)+SUMPRODUCT((DA$3:DA$105=AP27)*(DD$3:DD$105=AP28)*DB$3:DB$105)</f>
        <v>0</v>
      </c>
      <c r="AV28" s="231">
        <f>AT28-AU28+1000</f>
        <v>1000</v>
      </c>
      <c r="AW28" s="231" t="str">
        <f t="shared" si="47"/>
        <v/>
      </c>
      <c r="AX28" s="231" t="str">
        <f>IF(AP28&lt;&gt;"",VLOOKUP(AP28,C$4:I$52,7,FALSE),"")</f>
        <v/>
      </c>
      <c r="AY28" s="231" t="str">
        <f>IF(AP28&lt;&gt;"",VLOOKUP(AP28,C$4:I$52,5,FALSE),"")</f>
        <v/>
      </c>
      <c r="AZ28" s="231" t="str">
        <f>IF(AP28&lt;&gt;"",VLOOKUP(AP28,C$4:K$52,9,FALSE),"")</f>
        <v/>
      </c>
      <c r="BA28" s="231" t="str">
        <f t="shared" si="48"/>
        <v/>
      </c>
      <c r="BB28" s="231" t="str">
        <f>IF(AP28&lt;&gt;"",RANK(BA28,BA25:BA29),"")</f>
        <v/>
      </c>
      <c r="BC28" s="231" t="str">
        <f>IF(AP28&lt;&gt;"",SUMPRODUCT((BA25:BA29=BA28)*(AV25:AV29&gt;AV28)),"")</f>
        <v/>
      </c>
      <c r="BD28" s="231" t="str">
        <f>IF(AP28&lt;&gt;"",SUMPRODUCT((BA25:BA29=BA28)*(AV25:AV29=AV28)*(AT25:AT29&gt;AT28)),"")</f>
        <v/>
      </c>
      <c r="BE28" s="231" t="str">
        <f>IF(AP28&lt;&gt;"",SUMPRODUCT((BA25:BA29=BA28)*(AV25:AV29=AV28)*(AT25:AT29=AT28)*(AX25:AX29&gt;AX28)),"")</f>
        <v/>
      </c>
      <c r="BF28" s="231" t="str">
        <f>IF(AP28&lt;&gt;"",SUMPRODUCT((BA25:BA29=BA28)*(AV25:AV29=AV28)*(AT25:AT29=AT28)*(AX25:AX29=AX28)*(AY25:AY29&gt;AY28)),"")</f>
        <v/>
      </c>
      <c r="BG28" s="231" t="str">
        <f>IF(AP28&lt;&gt;"",SUMPRODUCT((BA25:BA29=BA28)*(AV25:AV29=AV28)*(AT25:AT29=AT28)*(AX25:AX29=AX28)*(AY25:AY29=AY28)*(AZ25:AZ29&gt;AZ28)),"")</f>
        <v/>
      </c>
      <c r="BH28" s="231" t="str">
        <f>IF(AP28&lt;&gt;"",IF(BH107&lt;&gt;"",IF(AO103=3,BH107,BH107+AO103),SUM(BB28:BG28)+1),"")</f>
        <v/>
      </c>
      <c r="BI28" s="231" t="str">
        <f>IF(AP28&lt;&gt;"",INDEX(AP26:AP29,MATCH(4,BH26:BH29,0),0),"")</f>
        <v/>
      </c>
      <c r="BJ28" s="231" t="str">
        <f>IF(S26&lt;&gt;"",S26,"")</f>
        <v/>
      </c>
      <c r="BK28" s="231">
        <f>SUMPRODUCT((DA$3:DA$105=BJ28)*(DD$3:DD$105=BJ29)*(DE$3:DE$105="W"))+SUMPRODUCT((DA$3:DA$105=BJ28)*(DD$3:DD$105=BJ30)*(DE$3:DE$105="W"))+SUMPRODUCT((DA$3:DA$105=BJ28)*(DD$3:DD$105=BJ27)*(DE$3:DE$105="W"))+SUMPRODUCT((DA$3:DA$105=BJ29)*(DD$3:DD$105=BJ28)*(DF$3:DF$105="W"))+SUMPRODUCT((DA$3:DA$105=BJ30)*(DD$3:DD$105=BJ28)*(DF$3:DF$105="W"))+SUMPRODUCT((DA$3:DA$105=BJ27)*(DD$3:DD$105=BJ28)*(DF$3:DF$105="W"))</f>
        <v>0</v>
      </c>
      <c r="BL28" s="231">
        <f>SUMPRODUCT((DA$3:DA$105=BJ28)*(DD$3:DD$105=BJ29)*(DE$3:DE$105="D"))+SUMPRODUCT((DA$3:DA$105=BJ28)*(DD$3:DD$105=BJ30)*(DE$3:DE$105="D"))+SUMPRODUCT((DA$3:DA$105=BJ28)*(DD$3:DD$105=BJ27)*(DE$3:DE$105="D"))+SUMPRODUCT((DA$3:DA$105=BJ29)*(DD$3:DD$105=BJ28)*(DE$3:DE$105="D"))+SUMPRODUCT((DA$3:DA$105=BJ30)*(DD$3:DD$105=BJ28)*(DE$3:DE$105="D"))+SUMPRODUCT((DA$3:DA$105=BJ27)*(DD$3:DD$105=BJ28)*(DE$3:DE$105="D"))</f>
        <v>0</v>
      </c>
      <c r="BM28" s="231">
        <f>SUMPRODUCT((DA$3:DA$105=BJ28)*(DD$3:DD$105=BJ29)*(DE$3:DE$105="L"))+SUMPRODUCT((DA$3:DA$105=BJ28)*(DD$3:DD$105=BJ30)*(DE$3:DE$105="L"))+SUMPRODUCT((DA$3:DA$105=BJ28)*(DD$3:DD$105=BJ27)*(DE$3:DE$105="L"))+SUMPRODUCT((DA$3:DA$105=BJ29)*(DD$3:DD$105=BJ28)*(DF$3:DF$105="L"))+SUMPRODUCT((DA$3:DA$105=BJ30)*(DD$3:DD$105=BJ28)*(DF$3:DF$105="L"))+SUMPRODUCT((DA$3:DA$105=BJ27)*(DD$3:DD$105=BJ28)*(DF$3:DF$105="L"))</f>
        <v>0</v>
      </c>
      <c r="BN28" s="231">
        <f>SUMPRODUCT((DA$3:DA$105=BJ28)*(DD$3:DD$105=BJ29)*DB$3:DB$105)+SUMPRODUCT((DA$3:DA$105=BJ28)*(DD$3:DD$105=BJ25)*DB$3:DB$105)+SUMPRODUCT((DA$3:DA$105=BJ28)*(DD$3:DD$105=BJ26)*DB$3:DB$105)+SUMPRODUCT((DA$3:DA$105=BJ28)*(DD$3:DD$105=BJ27)*DB$3:DB$105)+SUMPRODUCT((DA$3:DA$105=BJ29)*(DD$3:DD$105=BJ28)*DC$3:DC$105)+SUMPRODUCT((DA$3:DA$105=BJ25)*(DD$3:DD$105=BJ28)*DC$3:DC$105)+SUMPRODUCT((DA$3:DA$105=BJ26)*(DD$3:DD$105=BJ28)*DC$3:DC$105)+SUMPRODUCT((DA$3:DA$105=BJ27)*(DD$3:DD$105=BJ28)*DC$3:DC$105)</f>
        <v>0</v>
      </c>
      <c r="BO28" s="231">
        <f>SUMPRODUCT((DA$3:DA$105=BJ28)*(DD$3:DD$105=BJ29)*DC$3:DC$105)+SUMPRODUCT((DA$3:DA$105=BJ28)*(DD$3:DD$105=BJ25)*DC$3:DC$105)+SUMPRODUCT((DA$3:DA$105=BJ28)*(DD$3:DD$105=BJ26)*DC$3:DC$105)+SUMPRODUCT((DA$3:DA$105=BJ28)*(DD$3:DD$105=BJ27)*DC$3:DC$105)+SUMPRODUCT((DA$3:DA$105=BJ29)*(DD$3:DD$105=BJ28)*DB$3:DB$105)+SUMPRODUCT((DA$3:DA$105=BJ25)*(DD$3:DD$105=BJ28)*DB$3:DB$105)+SUMPRODUCT((DA$3:DA$105=BJ26)*(DD$3:DD$105=BJ28)*DB$3:DB$105)+SUMPRODUCT((DA$3:DA$105=BJ27)*(DD$3:DD$105=BJ28)*DB$3:DB$105)</f>
        <v>0</v>
      </c>
      <c r="BP28" s="231">
        <f>BN28-BO28+1000</f>
        <v>1000</v>
      </c>
      <c r="BQ28" s="231" t="str">
        <f t="shared" ref="BQ28" si="50">IF(BJ28&lt;&gt;"",BK28*3+BL28*1,"")</f>
        <v/>
      </c>
      <c r="BR28" s="231" t="str">
        <f>IF(BJ28&lt;&gt;"",VLOOKUP(BJ28,C$4:I$52,7,FALSE),"")</f>
        <v/>
      </c>
      <c r="BS28" s="231" t="str">
        <f>IF(BJ28&lt;&gt;"",VLOOKUP(BJ28,C$4:I$52,5,FALSE),"")</f>
        <v/>
      </c>
      <c r="BT28" s="231" t="str">
        <f>IF(BJ28&lt;&gt;"",VLOOKUP(BJ28,C$4:K$52,9,FALSE),"")</f>
        <v/>
      </c>
      <c r="BU28" s="231" t="str">
        <f t="shared" si="49"/>
        <v/>
      </c>
      <c r="BV28" s="231" t="str">
        <f>IF(BJ28&lt;&gt;"",RANK(BU28,BU25:BU29),"")</f>
        <v/>
      </c>
      <c r="BW28" s="231" t="str">
        <f>IF(BJ28&lt;&gt;"",SUMPRODUCT((BU25:BU29=BU28)*(BP25:BP29&gt;BP28)),"")</f>
        <v/>
      </c>
      <c r="BX28" s="231" t="str">
        <f>IF(BJ28&lt;&gt;"",SUMPRODUCT((BU25:BU29=BU28)*(BP25:BP29=BP28)*(BN25:BN29&gt;BN28)),"")</f>
        <v/>
      </c>
      <c r="BY28" s="231" t="str">
        <f>IF(BJ28&lt;&gt;"",SUMPRODUCT((BU25:BU29=BU28)*(BP25:BP29=BP28)*(BN25:BN29=BN28)*(BR25:BR29&gt;BR28)),"")</f>
        <v/>
      </c>
      <c r="BZ28" s="231" t="str">
        <f>IF(BJ28&lt;&gt;"",SUMPRODUCT((BU25:BU29=BU28)*(BP25:BP29=BP28)*(BN25:BN29=BN28)*(BR25:BR29=BR28)*(BS25:BS29&gt;BS28)),"")</f>
        <v/>
      </c>
      <c r="CA28" s="231" t="str">
        <f>IF(BJ28&lt;&gt;"",SUMPRODUCT((BU25:BU29=BU28)*(BP25:BP29=BP28)*(BN25:BN29=BN28)*(BR25:BR29=BR28)*(BS25:BS29=BS28)*(BT25:BT29&gt;BT28)),"")</f>
        <v/>
      </c>
      <c r="CB28" s="231" t="str">
        <f>IF(BJ28&lt;&gt;"",SUM(BV28:CA28)+2,"")</f>
        <v/>
      </c>
      <c r="CC28" s="231" t="str">
        <f>IF(BJ28&lt;&gt;"",INDEX(BJ27:BJ29,MATCH(4,CB27:CB29,0),0),"")</f>
        <v/>
      </c>
      <c r="CD28" s="231" t="str">
        <f>IF(T25&lt;&gt;"",T25,"")</f>
        <v/>
      </c>
      <c r="CE28" s="231">
        <f>SUMPRODUCT((DA$3:DA$105=CD28)*(DD$3:DD$105=CD29)*(DE$3:DE$105="W"))+SUMPRODUCT((DA$3:DA$105=CD28)*(DD$3:DD$105=CD30)*(DE$3:DE$105="W"))+SUMPRODUCT((DA$3:DA$105=CD28)*(DD$3:DD$105=CD31)*(DE$3:DE$105="W"))+SUMPRODUCT((DA$3:DA$105=CD29)*(DD$3:DD$105=CD28)*(DF$3:DF$105="W"))+SUMPRODUCT((DA$3:DA$105=CD30)*(DD$3:DD$105=CD28)*(DF$3:DF$105="W"))+SUMPRODUCT((DA$3:DA$105=CD31)*(DD$3:DD$105=CD28)*(DF$3:DF$105="W"))</f>
        <v>0</v>
      </c>
      <c r="CF28" s="231">
        <f>SUMPRODUCT((DA$3:DA$105=CD28)*(DD$3:DD$105=CD29)*(DE$3:DE$105="D"))+SUMPRODUCT((DA$3:DA$105=CD28)*(DD$3:DD$105=CD30)*(DE$3:DE$105="D"))+SUMPRODUCT((DA$3:DA$105=CD28)*(DD$3:DD$105=CD31)*(DE$3:DE$105="D"))+SUMPRODUCT((DA$3:DA$105=CD29)*(DD$3:DD$105=CD28)*(DE$3:DE$105="D"))+SUMPRODUCT((DA$3:DA$105=CD30)*(DD$3:DD$105=CD28)*(DE$3:DE$105="D"))+SUMPRODUCT((DA$3:DA$105=CD31)*(DD$3:DD$105=CD28)*(DE$3:DE$105="D"))</f>
        <v>0</v>
      </c>
      <c r="CG28" s="231">
        <f>SUMPRODUCT((DA$3:DA$105=CD28)*(DD$3:DD$105=CD29)*(DE$3:DE$105="L"))+SUMPRODUCT((DA$3:DA$105=CD28)*(DD$3:DD$105=CD30)*(DE$3:DE$105="L"))+SUMPRODUCT((DA$3:DA$105=CD28)*(DD$3:DD$105=CD31)*(DE$3:DE$105="L"))+SUMPRODUCT((DA$3:DA$105=CD29)*(DD$3:DD$105=CD28)*(DF$3:DF$105="L"))+SUMPRODUCT((DA$3:DA$105=CD30)*(DD$3:DD$105=CD28)*(DF$3:DF$105="L"))+SUMPRODUCT((DA$3:DA$105=CD31)*(DD$3:DD$105=CD28)*(DF$3:DF$105="L"))</f>
        <v>0</v>
      </c>
      <c r="CH28" s="231">
        <f>SUMPRODUCT((DA$3:DA$105=CD28)*(DD$3:DD$105=CD29)*DB$3:DB$105)+SUMPRODUCT((DA$3:DA$105=CD28)*(DD$3:DD$105=CD25)*DB$3:DB$105)+SUMPRODUCT((DA$3:DA$105=CD28)*(DD$3:DD$105=CD26)*DB$3:DB$105)+SUMPRODUCT((DA$3:DA$105=CD28)*(DD$3:DD$105=CD27)*DB$3:DB$105)+SUMPRODUCT((DA$3:DA$105=CD29)*(DD$3:DD$105=CD28)*DC$3:DC$105)+SUMPRODUCT((DA$3:DA$105=CD25)*(DD$3:DD$105=CD28)*DC$3:DC$105)+SUMPRODUCT((DA$3:DA$105=CD26)*(DD$3:DD$105=CD28)*DC$3:DC$105)+SUMPRODUCT((DA$3:DA$105=CD27)*(DD$3:DD$105=CD28)*DC$3:DC$105)</f>
        <v>0</v>
      </c>
      <c r="CI28" s="231">
        <f>SUMPRODUCT((DA$3:DA$105=CD28)*(DD$3:DD$105=CD29)*DC$3:DC$105)+SUMPRODUCT((DA$3:DA$105=CD28)*(DD$3:DD$105=CD25)*DC$3:DC$105)+SUMPRODUCT((DA$3:DA$105=CD28)*(DD$3:DD$105=CD26)*DC$3:DC$105)+SUMPRODUCT((DA$3:DA$105=CD28)*(DD$3:DD$105=CD27)*DC$3:DC$105)+SUMPRODUCT((DA$3:DA$105=CD29)*(DD$3:DD$105=CD28)*DB$3:DB$105)+SUMPRODUCT((DA$3:DA$105=CD25)*(DD$3:DD$105=CD28)*DB$3:DB$105)+SUMPRODUCT((DA$3:DA$105=CD26)*(DD$3:DD$105=CD28)*DB$3:DB$105)+SUMPRODUCT((DA$3:DA$105=CD27)*(DD$3:DD$105=CD28)*DB$3:DB$105)</f>
        <v>0</v>
      </c>
      <c r="CJ28" s="231">
        <f>CH28-CI28+1000</f>
        <v>1000</v>
      </c>
      <c r="CK28" s="231" t="str">
        <f t="shared" ref="CK28" si="51">IF(CD28&lt;&gt;"",CE28*3+CF28*1,"")</f>
        <v/>
      </c>
      <c r="CL28" s="231" t="str">
        <f>IF(CD28&lt;&gt;"",VLOOKUP(CD28,C$4:I$52,7,FALSE),"")</f>
        <v/>
      </c>
      <c r="CM28" s="231" t="str">
        <f>IF(CD28&lt;&gt;"",VLOOKUP(CD28,C$4:I$52,5,FALSE),"")</f>
        <v/>
      </c>
      <c r="CN28" s="231" t="str">
        <f>IF(CD28&lt;&gt;"",VLOOKUP(CD28,C$4:K$52,9,FALSE),"")</f>
        <v/>
      </c>
      <c r="CO28" s="231" t="str">
        <f t="shared" ref="CO28" si="52">CK28</f>
        <v/>
      </c>
      <c r="CP28" s="231" t="str">
        <f>IF(CD28&lt;&gt;"",RANK(CO28,AG25:AG29),"")</f>
        <v/>
      </c>
      <c r="CQ28" s="231" t="str">
        <f>IF(CD28&lt;&gt;"",SUMPRODUCT((CO25:CO29=CO28)*(CJ25:CJ29&gt;CJ28)),"")</f>
        <v/>
      </c>
      <c r="CR28" s="231" t="str">
        <f>IF(CD28&lt;&gt;"",SUMPRODUCT((CO25:CO29=CO28)*(CJ25:CJ29=CJ28)*(CH25:CH29&gt;CH28)),"")</f>
        <v/>
      </c>
      <c r="CS28" s="231" t="str">
        <f>IF(CD28&lt;&gt;"",SUMPRODUCT((CO25:CO29=CO28)*(CJ25:CJ29=CJ28)*(CH25:CH29=CH28)*(CL25:CL29&gt;CL28)),"")</f>
        <v/>
      </c>
      <c r="CT28" s="231" t="str">
        <f>IF(CD28&lt;&gt;"",SUMPRODUCT((CO25:CO29=CO28)*(CJ25:CJ29=CJ28)*(CH25:CH29=CH28)*(CL25:CL29=CL28)*(CM25:CM29&gt;CM28)),"")</f>
        <v/>
      </c>
      <c r="CU28" s="231" t="str">
        <f>IF(CD28&lt;&gt;"",SUMPRODUCT((CO25:CO29=CO28)*(CJ25:CJ29=CJ28)*(CH25:CH29=CH28)*(CL25:CL29=CL28)*(CM25:CM29=CM28)*(CN25:CN29&gt;CN28)),"")</f>
        <v/>
      </c>
      <c r="CV28" s="231" t="str">
        <f>IF(CD28&lt;&gt;"",SUM(CP28:CU28)+3,"")</f>
        <v/>
      </c>
      <c r="CW28" s="231" t="str">
        <f>IF(CD28&lt;&gt;"",IF(CV28=4,CD28,CD29),"")</f>
        <v/>
      </c>
      <c r="CX28" s="231" t="str">
        <f>IF(CW28&lt;&gt;"",CW28,IF(CC28&lt;&gt;"",CC28,IF(BI28&lt;&gt;"",BI28,IF(AO28&lt;&gt;"",AO28,O28))))</f>
        <v>Paraguay</v>
      </c>
      <c r="CY28" s="231">
        <v>4</v>
      </c>
      <c r="CZ28" s="231">
        <v>26</v>
      </c>
      <c r="DA28" s="234" t="str">
        <f>Matches!H29</f>
        <v>Switzerland</v>
      </c>
      <c r="DB28" s="234">
        <f>IF($DA$2&lt;&gt;"",IF(AND(Matches!J29&lt;&gt;"",Matches!K29&lt;&gt;""),Matches!J29,0),"")</f>
        <v>0</v>
      </c>
      <c r="DC28" s="234">
        <f>IF($DA$2&lt;&gt;"",IF(AND(Matches!J29&lt;&gt;"",Matches!K29&lt;&gt;""),Matches!K29,0),"")</f>
        <v>0</v>
      </c>
      <c r="DD28" s="234" t="str">
        <f>Matches!M29</f>
        <v>Bosnia and Herzegovina</v>
      </c>
      <c r="DE28" s="234" t="str">
        <f>IF(AND(Matches!J29&lt;&gt;"",Matches!K29&lt;&gt;""),IF(DB28&gt;DC28,"W",IF(DB28=DC28,"D","L")),"")</f>
        <v/>
      </c>
      <c r="DF28" s="231" t="str">
        <f t="shared" si="0"/>
        <v/>
      </c>
      <c r="DQ28" s="238"/>
      <c r="DR28" s="239"/>
      <c r="DS28" s="240" t="str">
        <f t="shared" si="16"/>
        <v>Japan</v>
      </c>
      <c r="DT28" s="241" t="s">
        <v>655</v>
      </c>
      <c r="DU28" s="240"/>
      <c r="DV28" s="233">
        <v>22</v>
      </c>
      <c r="DW28" s="242">
        <v>-1.5</v>
      </c>
      <c r="DX28" s="230"/>
      <c r="DY28" s="243">
        <v>22</v>
      </c>
      <c r="DZ28" s="244">
        <f t="shared" si="14"/>
        <v>46190.666666666664</v>
      </c>
      <c r="EA28" s="245">
        <v>46190.666666666664</v>
      </c>
      <c r="EB28" s="246">
        <f t="shared" si="15"/>
        <v>46190.666666666664</v>
      </c>
      <c r="EC28" s="245"/>
      <c r="EE28" s="233" t="str">
        <f>INDEX(Language!$A$1:$K$177,MATCH(Setup!B29,Language!$B$1:$B$177,0),MATCH(Setup!$C$5,Language!$A$1:$J$1,0))</f>
        <v>Japan</v>
      </c>
    </row>
    <row r="29" spans="1:135" ht="13.5" customHeight="1" x14ac:dyDescent="0.25">
      <c r="CW29" s="231" t="str">
        <f>IF(CD28&lt;&gt;"",IF(CD28=CW28,CD29,CD28),"")</f>
        <v/>
      </c>
      <c r="CZ29" s="231">
        <v>27</v>
      </c>
      <c r="DA29" s="234" t="str">
        <f>Matches!H30</f>
        <v>Canada</v>
      </c>
      <c r="DB29" s="234">
        <f>IF($DA$2&lt;&gt;"",IF(AND(Matches!J30&lt;&gt;"",Matches!K30&lt;&gt;""),Matches!J30,0),"")</f>
        <v>0</v>
      </c>
      <c r="DC29" s="234">
        <f>IF($DA$2&lt;&gt;"",IF(AND(Matches!J30&lt;&gt;"",Matches!K30&lt;&gt;""),Matches!K30,0),"")</f>
        <v>0</v>
      </c>
      <c r="DD29" s="234" t="str">
        <f>Matches!M30</f>
        <v>Qatar</v>
      </c>
      <c r="DE29" s="234" t="str">
        <f>IF(AND(Matches!J30&lt;&gt;"",Matches!K30&lt;&gt;""),IF(DB29&gt;DC29,"W",IF(DB29=DC29,"D","L")),"")</f>
        <v/>
      </c>
      <c r="DF29" s="231" t="str">
        <f t="shared" si="0"/>
        <v/>
      </c>
      <c r="DQ29" s="238"/>
      <c r="DR29" s="239"/>
      <c r="DS29" s="240" t="str">
        <f t="shared" si="16"/>
        <v>Sweden</v>
      </c>
      <c r="DT29" s="241" t="s">
        <v>656</v>
      </c>
      <c r="DU29" s="240"/>
      <c r="DV29" s="233">
        <v>23</v>
      </c>
      <c r="DW29" s="242">
        <v>-1</v>
      </c>
      <c r="DX29" s="230"/>
      <c r="DY29" s="243">
        <v>23</v>
      </c>
      <c r="DZ29" s="244">
        <f t="shared" si="14"/>
        <v>46190.541666666664</v>
      </c>
      <c r="EA29" s="245">
        <v>46190.541666666664</v>
      </c>
      <c r="EB29" s="246">
        <f t="shared" si="15"/>
        <v>46190.541666666664</v>
      </c>
      <c r="EC29" s="245"/>
      <c r="EE29" s="233" t="str">
        <f>INDEX(Language!$A$1:$K$177,MATCH(Setup!B30,Language!$B$1:$B$177,0),MATCH(Setup!$C$5,Language!$A$1:$J$1,0))</f>
        <v>Sweden</v>
      </c>
    </row>
    <row r="30" spans="1:135" ht="13.5" customHeight="1" x14ac:dyDescent="0.25">
      <c r="CD30" s="231" t="str">
        <f>IF(BO29&lt;&gt;"",BO29,"")</f>
        <v/>
      </c>
      <c r="CZ30" s="231">
        <v>28</v>
      </c>
      <c r="DA30" s="234" t="str">
        <f>Matches!H31</f>
        <v>Mexico</v>
      </c>
      <c r="DB30" s="234">
        <f>IF($DA$2&lt;&gt;"",IF(AND(Matches!J31&lt;&gt;"",Matches!K31&lt;&gt;""),Matches!J31,0),"")</f>
        <v>0</v>
      </c>
      <c r="DC30" s="234">
        <f>IF($DA$2&lt;&gt;"",IF(AND(Matches!J31&lt;&gt;"",Matches!K31&lt;&gt;""),Matches!K31,0),"")</f>
        <v>0</v>
      </c>
      <c r="DD30" s="234" t="str">
        <f>Matches!M31</f>
        <v>Korea Republic</v>
      </c>
      <c r="DE30" s="234" t="str">
        <f>IF(AND(Matches!J31&lt;&gt;"",Matches!K31&lt;&gt;""),IF(DB30&gt;DC30,"W",IF(DB30=DC30,"D","L")),"")</f>
        <v/>
      </c>
      <c r="DF30" s="231" t="str">
        <f t="shared" si="0"/>
        <v/>
      </c>
      <c r="DQ30" s="238"/>
      <c r="DR30" s="239"/>
      <c r="DS30" s="240" t="str">
        <f t="shared" si="16"/>
        <v>Tunisia</v>
      </c>
      <c r="DT30" s="241" t="s">
        <v>657</v>
      </c>
      <c r="DU30" s="240"/>
      <c r="DV30" s="233">
        <v>24</v>
      </c>
      <c r="DW30" s="242">
        <v>-0.5</v>
      </c>
      <c r="DX30" s="230"/>
      <c r="DY30" s="243">
        <v>24</v>
      </c>
      <c r="DZ30" s="244">
        <f t="shared" si="14"/>
        <v>46190.916666666664</v>
      </c>
      <c r="EA30" s="245">
        <v>46190.916666666664</v>
      </c>
      <c r="EB30" s="246">
        <f t="shared" si="15"/>
        <v>46190.916666666664</v>
      </c>
      <c r="EC30" s="245"/>
      <c r="EE30" s="233" t="str">
        <f>INDEX(Language!$A$1:$K$177,MATCH(Setup!B31,Language!$B$1:$B$177,0),MATCH(Setup!$C$5,Language!$A$1:$J$1,0))</f>
        <v>Tunisia</v>
      </c>
    </row>
    <row r="31" spans="1:135" ht="13.5" customHeight="1" x14ac:dyDescent="0.25">
      <c r="A31" s="230">
        <f>Setup!F24+100</f>
        <v>110</v>
      </c>
      <c r="B31" s="231">
        <f>VLOOKUP(C31,CX$31:CY$35,2,FALSE)</f>
        <v>1</v>
      </c>
      <c r="C31" s="232" t="str">
        <f>EE23</f>
        <v>Germany</v>
      </c>
      <c r="D31" s="231">
        <f>SUMPRODUCT((DA$3:DA$105=C31)*(DE$3:DE$105="W"))+SUMPRODUCT((DD$3:DD$105=C31)*(DF$3:DF$105="W"))</f>
        <v>0</v>
      </c>
      <c r="E31" s="231">
        <f>SUMPRODUCT((DA$3:DA$105=C31)*(DE$3:DE$105="D"))+SUMPRODUCT((DD$3:DD$105=C31)*(DF$3:DF$105="D"))</f>
        <v>0</v>
      </c>
      <c r="F31" s="231">
        <f>SUMPRODUCT((DA$3:DA$105=C31)*(DE$3:DE$105="L"))+SUMPRODUCT((DD$3:DD$105=C31)*(DF$3:DF$105="L"))</f>
        <v>0</v>
      </c>
      <c r="G31" s="231">
        <f>SUMIF(DA3:DA123,C31,DB3:DB123)+SUMIF(DD3:DD123,C31,DC3:DC123)</f>
        <v>0</v>
      </c>
      <c r="H31" s="231">
        <f>SUMIF(DD3:DD123,C31,DB3:DB123)+SUMIF(DA3:DA123,C31,DC3:DC123)</f>
        <v>0</v>
      </c>
      <c r="I31" s="231">
        <f t="shared" ref="I31:I34" si="53">G31-H31+1000</f>
        <v>1000</v>
      </c>
      <c r="J31" s="231">
        <f t="shared" ref="J31:J34" si="54">D31*3+E31*1</f>
        <v>0</v>
      </c>
      <c r="K31" s="231">
        <f>IF(Setup!G24&lt;&gt;"",Setup!G24,-A31)</f>
        <v>-110</v>
      </c>
      <c r="L31" s="231">
        <f>IF(COUNTIF(J31:J35,4)&lt;&gt;4,RANK(J31,J31:J35),J110)</f>
        <v>1</v>
      </c>
      <c r="N31" s="231">
        <f>SUMPRODUCT((L31:L34=L31)*(K31:K34&lt;K31))+L31</f>
        <v>4</v>
      </c>
      <c r="O31" s="232" t="str">
        <f>INDEX(C31:C35,MATCH(1,N31:N35,0),0)</f>
        <v>Curacao</v>
      </c>
      <c r="P31" s="231">
        <f>INDEX(L31:L35,MATCH(O31,C31:C35,0),0)</f>
        <v>1</v>
      </c>
      <c r="Q31" s="231" t="str">
        <f>IF(P32=1,O31,"")</f>
        <v>Curacao</v>
      </c>
      <c r="R31" s="231" t="str">
        <f>IF(P33=2,O32,"")</f>
        <v/>
      </c>
      <c r="S31" s="231" t="str">
        <f>IF(P34=3,O33,"")</f>
        <v/>
      </c>
      <c r="T31" s="231" t="str">
        <f>IF(P35=4,O34,"")</f>
        <v/>
      </c>
      <c r="V31" s="231" t="str">
        <f>IF(Q31&lt;&gt;"",Q31,"")</f>
        <v>Curacao</v>
      </c>
      <c r="W31" s="231">
        <f>SUMPRODUCT((DA$3:DA$105=V31)*(DD$3:DD$105=V32)*(DE$3:DE$105="W"))+SUMPRODUCT((DA$3:DA$105=V31)*(DD$3:DD$105=V33)*(DE$3:DE$105="W"))+SUMPRODUCT((DA$3:DA$105=V31)*(DD$3:DD$105=V34)*(DE$3:DE$105="W"))+SUMPRODUCT((DA$3:DA$105=V31)*(DD$3:DD$105=V35)*(DE$3:DE$105="W"))+SUMPRODUCT((DA$3:DA$105=V32)*(DD$3:DD$105=V31)*(DF$3:DF$105="W"))+SUMPRODUCT((DA$3:DA$105=V33)*(DD$3:DD$105=V31)*(DF$3:DF$105="W"))+SUMPRODUCT((DA$3:DA$105=V34)*(DD$3:DD$105=V31)*(DF$3:DF$105="W"))+SUMPRODUCT((DA$3:DA$105=V35)*(DD$3:DD$105=V31)*(DF$3:DF$105="W"))</f>
        <v>0</v>
      </c>
      <c r="X31" s="231">
        <f>SUMPRODUCT((DA$3:DA$105=V31)*(DD$3:DD$105=V32)*(DE$3:DE$105="D"))+SUMPRODUCT((DA$3:DA$105=V31)*(DD$3:DD$105=V33)*(DE$3:DE$105="D"))+SUMPRODUCT((DA$3:DA$105=V31)*(DD$3:DD$105=V34)*(DE$3:DE$105="D"))+SUMPRODUCT((DA$3:DA$105=V31)*(DD$3:DD$105=V35)*(DE$3:DE$105="D"))+SUMPRODUCT((DA$3:DA$105=V32)*(DD$3:DD$105=V31)*(DE$3:DE$105="D"))+SUMPRODUCT((DA$3:DA$105=V33)*(DD$3:DD$105=V31)*(DE$3:DE$105="D"))+SUMPRODUCT((DA$3:DA$105=V34)*(DD$3:DD$105=V31)*(DE$3:DE$105="D"))+SUMPRODUCT((DA$3:DA$105=V35)*(DD$3:DD$105=V31)*(DE$3:DE$105="D"))</f>
        <v>0</v>
      </c>
      <c r="Y31" s="231">
        <f>SUMPRODUCT((DA$3:DA$105=V31)*(DD$3:DD$105=V32)*(DE$3:DE$105="L"))+SUMPRODUCT((DA$3:DA$105=V31)*(DD$3:DD$105=V33)*(DE$3:DE$105="L"))+SUMPRODUCT((DA$3:DA$105=V31)*(DD$3:DD$105=V34)*(DE$3:DE$105="L"))+SUMPRODUCT((DA$3:DA$105=V31)*(DD$3:DD$105=V35)*(DE$3:DE$105="L"))+SUMPRODUCT((DA$3:DA$105=V32)*(DD$3:DD$105=V31)*(DF$3:DF$105="L"))+SUMPRODUCT((DA$3:DA$105=V33)*(DD$3:DD$105=V31)*(DF$3:DF$105="L"))+SUMPRODUCT((DA$3:DA$105=V34)*(DD$3:DD$105=V31)*(DF$3:DF$105="L"))+SUMPRODUCT((DA$3:DA$105=V35)*(DD$3:DD$105=V31)*(DF$3:DF$105="L"))</f>
        <v>0</v>
      </c>
      <c r="Z31" s="231">
        <f>SUMPRODUCT((DA$3:DA$105=V31)*(DD$3:DD$105=V32)*DB$3:DB$105)+SUMPRODUCT((DA$3:DA$105=V31)*(DD$3:DD$105=V33)*DB$3:DB$105)+SUMPRODUCT((DA$3:DA$105=V31)*(DD$3:DD$105=V34)*DB$3:DB$105)+SUMPRODUCT((DA$3:DA$105=V31)*(DD$3:DD$105=V35)*DB$3:DB$105)+SUMPRODUCT((DA$3:DA$105=V32)*(DD$3:DD$105=V31)*DC$3:DC$105)+SUMPRODUCT((DA$3:DA$105=V33)*(DD$3:DD$105=V31)*DC$3:DC$105)+SUMPRODUCT((DA$3:DA$105=V34)*(DD$3:DD$105=V31)*DC$3:DC$105)+SUMPRODUCT((DA$3:DA$105=V35)*(DD$3:DD$105=V31)*DC$3:DC$105)</f>
        <v>0</v>
      </c>
      <c r="AA31" s="231">
        <f>SUMPRODUCT((DA$3:DA$105=V31)*(DD$3:DD$105=V32)*DC$3:DC$105)+SUMPRODUCT((DA$3:DA$105=V31)*(DD$3:DD$105=V33)*DC$3:DC$105)+SUMPRODUCT((DA$3:DA$105=V31)*(DD$3:DD$105=V34)*DC$3:DC$105)+SUMPRODUCT((DA$3:DA$105=V31)*(DD$3:DD$105=V35)*DC$3:DC$105)+SUMPRODUCT((DA$3:DA$105=V32)*(DD$3:DD$105=V31)*DB$3:DB$105)+SUMPRODUCT((DA$3:DA$105=V33)*(DD$3:DD$105=V31)*DB$3:DB$105)+SUMPRODUCT((DA$3:DA$105=V34)*(DD$3:DD$105=V31)*DB$3:DB$105)+SUMPRODUCT((DA$3:DA$105=V35)*(DD$3:DD$105=V31)*DB$3:DB$105)</f>
        <v>0</v>
      </c>
      <c r="AB31" s="231">
        <f>Z31-AA31+1000</f>
        <v>1000</v>
      </c>
      <c r="AC31" s="231">
        <f t="shared" ref="AC31:AC34" si="55">IF(V31&lt;&gt;"",W31*3+X31*1,"")</f>
        <v>0</v>
      </c>
      <c r="AD31" s="231">
        <f>IF(V31&lt;&gt;"",VLOOKUP(V31,C$4:I$52,7,FALSE),"")</f>
        <v>1000</v>
      </c>
      <c r="AE31" s="231">
        <f>IF(V31&lt;&gt;"",VLOOKUP(V31,C$4:I$52,5,FALSE),"")</f>
        <v>0</v>
      </c>
      <c r="AF31" s="231">
        <f>IF(V31&lt;&gt;"",VLOOKUP(V31,C$4:K$52,9,FALSE),"")</f>
        <v>-181</v>
      </c>
      <c r="AG31" s="231">
        <f t="shared" ref="AG31:AG34" si="56">AC31</f>
        <v>0</v>
      </c>
      <c r="AH31" s="231">
        <f>IF(V31&lt;&gt;"",RANK(AG31,AG31:AG35),"")</f>
        <v>1</v>
      </c>
      <c r="AI31" s="231">
        <f>IF(V31&lt;&gt;"",SUMPRODUCT((AG31:AG35=AG31)*(AB31:AB35&gt;AB31)),"")</f>
        <v>0</v>
      </c>
      <c r="AJ31" s="231">
        <f>IF(V31&lt;&gt;"",SUMPRODUCT((AG31:AG35=AG31)*(AB31:AB35=AB31)*(Z31:Z35&gt;Z31)),"")</f>
        <v>0</v>
      </c>
      <c r="AK31" s="231">
        <f>IF(V31&lt;&gt;"",SUMPRODUCT((AG31:AG35=AG31)*(AB31:AB35=AB31)*(Z31:Z35=Z31)*(AD31:AD35&gt;AD31)),"")</f>
        <v>0</v>
      </c>
      <c r="AL31" s="231">
        <f>IF(V31&lt;&gt;"",SUMPRODUCT((AG31:AG35=AG31)*(AB31:AB35=AB31)*(Z31:Z35=Z31)*(AD31:AD35=AD31)*(AE31:AE35&gt;AE31)),"")</f>
        <v>0</v>
      </c>
      <c r="AM31" s="231">
        <f>IF(V31&lt;&gt;"",SUMPRODUCT((AG31:AG35=AG31)*(AB31:AB35=AB31)*(Z31:Z35=Z31)*(AD31:AD35=AD31)*(AE31:AE35=AE31)*(AF31:AF35&gt;AF31)),"")</f>
        <v>3</v>
      </c>
      <c r="AN31" s="231">
        <f>IF(V31&lt;&gt;"",IF(AN110&lt;&gt;"",IF($U$109=3,AN110,IF($U$109=4,SUM(AH31:AM31),AN110+$U$109)),SUM(AH31:AM31)),"")</f>
        <v>4</v>
      </c>
      <c r="AO31" s="231" t="str">
        <f>IF(V31&lt;&gt;"",INDEX(V31:V35,MATCH(1,AN31:AN35,0),0),"")</f>
        <v>Germany</v>
      </c>
      <c r="CX31" s="231" t="str">
        <f>IF(AO31&lt;&gt;"",AO31,O31)</f>
        <v>Germany</v>
      </c>
      <c r="CY31" s="231">
        <v>1</v>
      </c>
      <c r="CZ31" s="231">
        <v>29</v>
      </c>
      <c r="DA31" s="234" t="str">
        <f>Matches!H32</f>
        <v>Brazil</v>
      </c>
      <c r="DB31" s="234">
        <f>IF($DA$2&lt;&gt;"",IF(AND(Matches!J32&lt;&gt;"",Matches!K32&lt;&gt;""),Matches!J32,0),"")</f>
        <v>0</v>
      </c>
      <c r="DC31" s="234">
        <f>IF($DA$2&lt;&gt;"",IF(AND(Matches!J32&lt;&gt;"",Matches!K32&lt;&gt;""),Matches!K32,0),"")</f>
        <v>0</v>
      </c>
      <c r="DD31" s="234" t="str">
        <f>Matches!M32</f>
        <v>Haiti</v>
      </c>
      <c r="DE31" s="234" t="str">
        <f>IF(AND(Matches!J32&lt;&gt;"",Matches!K32&lt;&gt;""),IF(DB31&gt;DC31,"W",IF(DB31=DC31,"D","L")),"")</f>
        <v/>
      </c>
      <c r="DF31" s="231" t="str">
        <f t="shared" si="0"/>
        <v/>
      </c>
      <c r="DQ31" s="238" t="s">
        <v>77</v>
      </c>
      <c r="DR31" s="239"/>
      <c r="DS31" s="240" t="str">
        <f t="shared" si="16"/>
        <v>Belgium</v>
      </c>
      <c r="DT31" s="241" t="s">
        <v>658</v>
      </c>
      <c r="DU31" s="240"/>
      <c r="DV31" s="233">
        <v>25</v>
      </c>
      <c r="DW31" s="242">
        <v>0</v>
      </c>
      <c r="DX31" s="230"/>
      <c r="DY31" s="243">
        <v>25</v>
      </c>
      <c r="DZ31" s="244">
        <f t="shared" si="14"/>
        <v>46191.5</v>
      </c>
      <c r="EA31" s="245">
        <v>46191.5</v>
      </c>
      <c r="EB31" s="246">
        <f t="shared" si="15"/>
        <v>46191.5</v>
      </c>
      <c r="EC31" s="245"/>
      <c r="ED31" s="233">
        <f>SUM(Matches!S29:S32)</f>
        <v>10</v>
      </c>
      <c r="EE31" s="233" t="str">
        <f>INDEX(Language!$A$1:$K$177,MATCH(Setup!B32,Language!$B$1:$B$177,0),MATCH(Setup!$C$5,Language!$A$1:$J$1,0))</f>
        <v>Belgium</v>
      </c>
    </row>
    <row r="32" spans="1:135" ht="13.5" customHeight="1" x14ac:dyDescent="0.25">
      <c r="A32" s="230">
        <f>Setup!F25+100</f>
        <v>181</v>
      </c>
      <c r="B32" s="231">
        <f>VLOOKUP(C32,CX$31:CY$35,2,FALSE)</f>
        <v>4</v>
      </c>
      <c r="C32" s="232" t="str">
        <f t="shared" ref="C32:C34" si="57">EE24</f>
        <v>Curacao</v>
      </c>
      <c r="D32" s="231">
        <f>SUMPRODUCT((DA$3:DA$105=C32)*(DE$3:DE$105="W"))+SUMPRODUCT((DD$3:DD$105=C32)*(DF$3:DF$105="W"))</f>
        <v>0</v>
      </c>
      <c r="E32" s="231">
        <f>SUMPRODUCT((DA$3:DA$105=C32)*(DE$3:DE$105="D"))+SUMPRODUCT((DD$3:DD$105=C32)*(DF$3:DF$105="D"))</f>
        <v>0</v>
      </c>
      <c r="F32" s="231">
        <f>SUMPRODUCT((DA$3:DA$105=C32)*(DE$3:DE$105="L"))+SUMPRODUCT((DD$3:DD$105=C32)*(DF$3:DF$105="L"))</f>
        <v>0</v>
      </c>
      <c r="G32" s="231">
        <f>SUMIF(DA3:DA123,C32,DB3:DB123)+SUMIF(DD3:DD123,C32,DC3:DC123)</f>
        <v>0</v>
      </c>
      <c r="H32" s="231">
        <f>SUMIF(DD3:DD123,C32,DB3:DB123)+SUMIF(DA3:DA123,C32,DC3:DC123)</f>
        <v>0</v>
      </c>
      <c r="I32" s="231">
        <f t="shared" si="53"/>
        <v>1000</v>
      </c>
      <c r="J32" s="231">
        <f t="shared" si="54"/>
        <v>0</v>
      </c>
      <c r="K32" s="231">
        <f>IF(Setup!G25&lt;&gt;"",Setup!G25,-A32)</f>
        <v>-181</v>
      </c>
      <c r="L32" s="231">
        <f>IF(COUNTIF(J31:J35,4)&lt;&gt;4,RANK(J32,J31:J35),J111)</f>
        <v>1</v>
      </c>
      <c r="N32" s="231">
        <f>SUMPRODUCT((L31:L34=L32)*(K31:K34&lt;K32))+L32</f>
        <v>1</v>
      </c>
      <c r="O32" s="232" t="str">
        <f>INDEX(C31:C35,MATCH(2,N31:N35,0),0)</f>
        <v>Cote D'Voire</v>
      </c>
      <c r="P32" s="231">
        <f>INDEX(L31:L35,MATCH(O32,C31:C35,0),0)</f>
        <v>1</v>
      </c>
      <c r="Q32" s="231" t="str">
        <f>IF(Q31&lt;&gt;"",O32,"")</f>
        <v>Cote D'Voire</v>
      </c>
      <c r="R32" s="231" t="str">
        <f>IF(R31&lt;&gt;"",O33,"")</f>
        <v/>
      </c>
      <c r="S32" s="231" t="str">
        <f>IF(S31&lt;&gt;"",O34,"")</f>
        <v/>
      </c>
      <c r="T32" s="231" t="str">
        <f>IF(T31&lt;&gt;"",O35,"")</f>
        <v/>
      </c>
      <c r="V32" s="231" t="str">
        <f t="shared" ref="V32:V34" si="58">IF(Q32&lt;&gt;"",Q32,"")</f>
        <v>Cote D'Voire</v>
      </c>
      <c r="W32" s="231">
        <f>SUMPRODUCT((DA$3:DA$105=V32)*(DD$3:DD$105=V33)*(DE$3:DE$105="W"))+SUMPRODUCT((DA$3:DA$105=V32)*(DD$3:DD$105=V34)*(DE$3:DE$105="W"))+SUMPRODUCT((DA$3:DA$105=V32)*(DD$3:DD$105=V35)*(DE$3:DE$105="W"))+SUMPRODUCT((DA$3:DA$105=V32)*(DD$3:DD$105=V31)*(DE$3:DE$105="W"))+SUMPRODUCT((DA$3:DA$105=V33)*(DD$3:DD$105=V32)*(DF$3:DF$105="W"))+SUMPRODUCT((DA$3:DA$105=V34)*(DD$3:DD$105=V32)*(DF$3:DF$105="W"))+SUMPRODUCT((DA$3:DA$105=V35)*(DD$3:DD$105=V32)*(DF$3:DF$105="W"))+SUMPRODUCT((DA$3:DA$105=V31)*(DD$3:DD$105=V32)*(DF$3:DF$105="W"))</f>
        <v>0</v>
      </c>
      <c r="X32" s="231">
        <f>SUMPRODUCT((DA$3:DA$105=V32)*(DD$3:DD$105=V33)*(DE$3:DE$105="D"))+SUMPRODUCT((DA$3:DA$105=V32)*(DD$3:DD$105=V34)*(DE$3:DE$105="D"))+SUMPRODUCT((DA$3:DA$105=V32)*(DD$3:DD$105=V35)*(DE$3:DE$105="D"))+SUMPRODUCT((DA$3:DA$105=V32)*(DD$3:DD$105=V31)*(DE$3:DE$105="D"))+SUMPRODUCT((DA$3:DA$105=V33)*(DD$3:DD$105=V32)*(DE$3:DE$105="D"))+SUMPRODUCT((DA$3:DA$105=V34)*(DD$3:DD$105=V32)*(DE$3:DE$105="D"))+SUMPRODUCT((DA$3:DA$105=V35)*(DD$3:DD$105=V32)*(DE$3:DE$105="D"))+SUMPRODUCT((DA$3:DA$105=V31)*(DD$3:DD$105=V32)*(DE$3:DE$105="D"))</f>
        <v>0</v>
      </c>
      <c r="Y32" s="231">
        <f>SUMPRODUCT((DA$3:DA$105=V32)*(DD$3:DD$105=V33)*(DE$3:DE$105="L"))+SUMPRODUCT((DA$3:DA$105=V32)*(DD$3:DD$105=V34)*(DE$3:DE$105="L"))+SUMPRODUCT((DA$3:DA$105=V32)*(DD$3:DD$105=V35)*(DE$3:DE$105="L"))+SUMPRODUCT((DA$3:DA$105=V32)*(DD$3:DD$105=V31)*(DE$3:DE$105="L"))+SUMPRODUCT((DA$3:DA$105=V33)*(DD$3:DD$105=V32)*(DF$3:DF$105="L"))+SUMPRODUCT((DA$3:DA$105=V34)*(DD$3:DD$105=V32)*(DF$3:DF$105="L"))+SUMPRODUCT((DA$3:DA$105=V35)*(DD$3:DD$105=V32)*(DF$3:DF$105="L"))+SUMPRODUCT((DA$3:DA$105=V31)*(DD$3:DD$105=V32)*(DF$3:DF$105="L"))</f>
        <v>0</v>
      </c>
      <c r="Z32" s="231">
        <f>SUMPRODUCT((DA$3:DA$105=V32)*(DD$3:DD$105=V33)*DB$3:DB$105)+SUMPRODUCT((DA$3:DA$105=V32)*(DD$3:DD$105=V34)*DB$3:DB$105)+SUMPRODUCT((DA$3:DA$105=V32)*(DD$3:DD$105=V35)*DB$3:DB$105)+SUMPRODUCT((DA$3:DA$105=V32)*(DD$3:DD$105=V31)*DB$3:DB$105)+SUMPRODUCT((DA$3:DA$105=V33)*(DD$3:DD$105=V32)*DC$3:DC$105)+SUMPRODUCT((DA$3:DA$105=V34)*(DD$3:DD$105=V32)*DC$3:DC$105)+SUMPRODUCT((DA$3:DA$105=V35)*(DD$3:DD$105=V32)*DC$3:DC$105)+SUMPRODUCT((DA$3:DA$105=V31)*(DD$3:DD$105=V32)*DC$3:DC$105)</f>
        <v>0</v>
      </c>
      <c r="AA32" s="231">
        <f>SUMPRODUCT((DA$3:DA$105=V32)*(DD$3:DD$105=V33)*DC$3:DC$105)+SUMPRODUCT((DA$3:DA$105=V32)*(DD$3:DD$105=V34)*DC$3:DC$105)+SUMPRODUCT((DA$3:DA$105=V32)*(DD$3:DD$105=V35)*DC$3:DC$105)+SUMPRODUCT((DA$3:DA$105=V32)*(DD$3:DD$105=V31)*DC$3:DC$105)+SUMPRODUCT((DA$3:DA$105=V33)*(DD$3:DD$105=V32)*DB$3:DB$105)+SUMPRODUCT((DA$3:DA$105=V34)*(DD$3:DD$105=V32)*DB$3:DB$105)+SUMPRODUCT((DA$3:DA$105=V35)*(DD$3:DD$105=V32)*DB$3:DB$105)+SUMPRODUCT((DA$3:DA$105=V31)*(DD$3:DD$105=V32)*DB$3:DB$105)</f>
        <v>0</v>
      </c>
      <c r="AB32" s="231">
        <f>Z32-AA32+1000</f>
        <v>1000</v>
      </c>
      <c r="AC32" s="231">
        <f t="shared" si="55"/>
        <v>0</v>
      </c>
      <c r="AD32" s="231">
        <f>IF(V32&lt;&gt;"",VLOOKUP(V32,C$4:I$52,7,FALSE),"")</f>
        <v>1000</v>
      </c>
      <c r="AE32" s="231">
        <f>IF(V32&lt;&gt;"",VLOOKUP(V32,C$4:I$52,5,FALSE),"")</f>
        <v>0</v>
      </c>
      <c r="AF32" s="231">
        <f>IF(V32&lt;&gt;"",VLOOKUP(V32,C$4:K$52,9,FALSE),"")</f>
        <v>-137</v>
      </c>
      <c r="AG32" s="231">
        <f t="shared" si="56"/>
        <v>0</v>
      </c>
      <c r="AH32" s="231">
        <f>IF(V32&lt;&gt;"",RANK(AG32,AG31:AG35),"")</f>
        <v>1</v>
      </c>
      <c r="AI32" s="231">
        <f>IF(V32&lt;&gt;"",SUMPRODUCT((AG31:AG35=AG32)*(AB31:AB35&gt;AB32)),"")</f>
        <v>0</v>
      </c>
      <c r="AJ32" s="231">
        <f>IF(V32&lt;&gt;"",SUMPRODUCT((AG31:AG35=AG32)*(AB31:AB35=AB32)*(Z31:Z35&gt;Z32)),"")</f>
        <v>0</v>
      </c>
      <c r="AK32" s="231">
        <f>IF(V32&lt;&gt;"",SUMPRODUCT((AG31:AG35=AG32)*(AB31:AB35=AB32)*(Z31:Z35=Z32)*(AD31:AD35&gt;AD32)),"")</f>
        <v>0</v>
      </c>
      <c r="AL32" s="231">
        <f>IF(V32&lt;&gt;"",SUMPRODUCT((AG31:AG35=AG32)*(AB31:AB35=AB32)*(Z31:Z35=Z32)*(AD31:AD35=AD32)*(AE31:AE35&gt;AE32)),"")</f>
        <v>0</v>
      </c>
      <c r="AM32" s="231">
        <f>IF(V32&lt;&gt;"",SUMPRODUCT((AG31:AG35=AG32)*(AB31:AB35=AB32)*(Z31:Z35=Z32)*(AD31:AD35=AD32)*(AE31:AE35=AE32)*(AF31:AF35&gt;AF32)),"")</f>
        <v>2</v>
      </c>
      <c r="AN32" s="231">
        <f>IF(V32&lt;&gt;"",IF(AN111&lt;&gt;"",IF($U$109=3,AN111,IF($U$109=4,SUM(AH32:AM32),AN111+$U$109)),SUM(AH32:AM32)),"")</f>
        <v>3</v>
      </c>
      <c r="AO32" s="231" t="str">
        <f>IF(V32&lt;&gt;"",INDEX(V31:V35,MATCH(2,AN31:AN35,0),0),"")</f>
        <v>Ecuador</v>
      </c>
      <c r="AP32" s="231" t="str">
        <f>IF(R31&lt;&gt;"",R31,"")</f>
        <v/>
      </c>
      <c r="AQ32" s="231">
        <f>SUMPRODUCT((DA$3:DA$105=AP32)*(DD$3:DD$105=AP33)*(DE$3:DE$105="W"))+SUMPRODUCT((DA$3:DA$105=AP32)*(DD$3:DD$105=AP34)*(DE$3:DE$105="W"))+SUMPRODUCT((DA$3:DA$105=AP32)*(DD$3:DD$105=AP35)*(DE$3:DE$105="W"))+SUMPRODUCT((DA$3:DA$105=AP33)*(DD$3:DD$105=AP32)*(DF$3:DF$105="W"))+SUMPRODUCT((DA$3:DA$105=AP34)*(DD$3:DD$105=AP32)*(DF$3:DF$105="W"))+SUMPRODUCT((DA$3:DA$105=AP35)*(DD$3:DD$105=AP32)*(DF$3:DF$105="W"))</f>
        <v>0</v>
      </c>
      <c r="AR32" s="231">
        <f>SUMPRODUCT((DA$3:DA$105=AP32)*(DD$3:DD$105=AP33)*(DE$3:DE$105="D"))+SUMPRODUCT((DA$3:DA$105=AP32)*(DD$3:DD$105=AP34)*(DE$3:DE$105="D"))+SUMPRODUCT((DA$3:DA$105=AP32)*(DD$3:DD$105=AP35)*(DE$3:DE$105="D"))+SUMPRODUCT((DA$3:DA$105=AP33)*(DD$3:DD$105=AP32)*(DE$3:DE$105="D"))+SUMPRODUCT((DA$3:DA$105=AP34)*(DD$3:DD$105=AP32)*(DE$3:DE$105="D"))+SUMPRODUCT((DA$3:DA$105=AP35)*(DD$3:DD$105=AP32)*(DE$3:DE$105="D"))</f>
        <v>0</v>
      </c>
      <c r="AS32" s="231">
        <f>SUMPRODUCT((DA$3:DA$105=AP32)*(DD$3:DD$105=AP33)*(DE$3:DE$105="L"))+SUMPRODUCT((DA$3:DA$105=AP32)*(DD$3:DD$105=AP34)*(DE$3:DE$105="L"))+SUMPRODUCT((DA$3:DA$105=AP32)*(DD$3:DD$105=AP35)*(DE$3:DE$105="L"))+SUMPRODUCT((DA$3:DA$105=AP33)*(DD$3:DD$105=AP32)*(DF$3:DF$105="L"))+SUMPRODUCT((DA$3:DA$105=AP34)*(DD$3:DD$105=AP32)*(DF$3:DF$105="L"))+SUMPRODUCT((DA$3:DA$105=AP35)*(DD$3:DD$105=AP32)*(DF$3:DF$105="L"))</f>
        <v>0</v>
      </c>
      <c r="AT32" s="231">
        <f>SUMPRODUCT((DA$3:DA$105=AP32)*(DD$3:DD$105=AP33)*DB$3:DB$105)+SUMPRODUCT((DA$3:DA$105=AP32)*(DD$3:DD$105=AP34)*DB$3:DB$105)+SUMPRODUCT((DA$3:DA$105=AP32)*(DD$3:DD$105=AP35)*DB$3:DB$105)+SUMPRODUCT((DA$3:DA$105=AP32)*(DD$3:DD$105=AP31)*DB$3:DB$105)+SUMPRODUCT((DA$3:DA$105=AP33)*(DD$3:DD$105=AP32)*DC$3:DC$105)+SUMPRODUCT((DA$3:DA$105=AP34)*(DD$3:DD$105=AP32)*DC$3:DC$105)+SUMPRODUCT((DA$3:DA$105=AP35)*(DD$3:DD$105=AP32)*DC$3:DC$105)+SUMPRODUCT((DA$3:DA$105=AP31)*(DD$3:DD$105=AP32)*DC$3:DC$105)</f>
        <v>0</v>
      </c>
      <c r="AU32" s="231">
        <f>SUMPRODUCT((DA$3:DA$105=AP32)*(DD$3:DD$105=AP33)*DC$3:DC$105)+SUMPRODUCT((DA$3:DA$105=AP32)*(DD$3:DD$105=AP34)*DC$3:DC$105)+SUMPRODUCT((DA$3:DA$105=AP32)*(DD$3:DD$105=AP35)*DC$3:DC$105)+SUMPRODUCT((DA$3:DA$105=AP32)*(DD$3:DD$105=AP31)*DC$3:DC$105)+SUMPRODUCT((DA$3:DA$105=AP33)*(DD$3:DD$105=AP32)*DB$3:DB$105)+SUMPRODUCT((DA$3:DA$105=AP34)*(DD$3:DD$105=AP32)*DB$3:DB$105)+SUMPRODUCT((DA$3:DA$105=AP35)*(DD$3:DD$105=AP32)*DB$3:DB$105)+SUMPRODUCT((DA$3:DA$105=AP31)*(DD$3:DD$105=AP32)*DB$3:DB$105)</f>
        <v>0</v>
      </c>
      <c r="AV32" s="231">
        <f>AT32-AU32+1000</f>
        <v>1000</v>
      </c>
      <c r="AW32" s="231" t="str">
        <f t="shared" ref="AW32:AW34" si="59">IF(AP32&lt;&gt;"",AQ32*3+AR32*1,"")</f>
        <v/>
      </c>
      <c r="AX32" s="231" t="str">
        <f>IF(AP32&lt;&gt;"",VLOOKUP(AP32,C$4:I$52,7,FALSE),"")</f>
        <v/>
      </c>
      <c r="AY32" s="231" t="str">
        <f>IF(AP32&lt;&gt;"",VLOOKUP(AP32,C$4:I$52,5,FALSE),"")</f>
        <v/>
      </c>
      <c r="AZ32" s="231" t="str">
        <f>IF(AP32&lt;&gt;"",VLOOKUP(AP32,C$4:K$52,9,FALSE),"")</f>
        <v/>
      </c>
      <c r="BA32" s="231" t="str">
        <f t="shared" ref="BA32:BA34" si="60">AW32</f>
        <v/>
      </c>
      <c r="BB32" s="231" t="str">
        <f>IF(AP32&lt;&gt;"",RANK(BA32,BA31:BA35),"")</f>
        <v/>
      </c>
      <c r="BC32" s="231" t="str">
        <f>IF(AP32&lt;&gt;"",SUMPRODUCT((BA31:BA35=BA32)*(AV31:AV35&gt;AV32)),"")</f>
        <v/>
      </c>
      <c r="BD32" s="231" t="str">
        <f>IF(AP32&lt;&gt;"",SUMPRODUCT((BA31:BA35=BA32)*(AV31:AV35=AV32)*(AT31:AT35&gt;AT32)),"")</f>
        <v/>
      </c>
      <c r="BE32" s="231" t="str">
        <f>IF(AP32&lt;&gt;"",SUMPRODUCT((BA31:BA35=BA32)*(AV31:AV35=AV32)*(AT31:AT35=AT32)*(AX31:AX35&gt;AX32)),"")</f>
        <v/>
      </c>
      <c r="BF32" s="231" t="str">
        <f>IF(AP32&lt;&gt;"",SUMPRODUCT((BA31:BA35=BA32)*(AV31:AV35=AV32)*(AT31:AT35=AT32)*(AX31:AX35=AX32)*(AY31:AY35&gt;AY32)),"")</f>
        <v/>
      </c>
      <c r="BG32" s="231" t="str">
        <f>IF(AP32&lt;&gt;"",SUMPRODUCT((BA31:BA35=BA32)*(AV31:AV35=AV32)*(AT31:AT35=AT32)*(AX31:AX35=AX32)*(AY31:AY35=AY32)*(AZ31:AZ35&gt;AZ32)),"")</f>
        <v/>
      </c>
      <c r="BH32" s="231" t="str">
        <f>IF(AP32&lt;&gt;"",IF(BH111&lt;&gt;"",IF(AO109=3,BH111,BH111+AO109),SUM(BB32:BG32)+1),"")</f>
        <v/>
      </c>
      <c r="BI32" s="231" t="str">
        <f>IF(AP32&lt;&gt;"",INDEX(AP32:AP35,MATCH(2,BH32:BH35,0),0),"")</f>
        <v/>
      </c>
      <c r="CX32" s="231" t="str">
        <f>IF(BI32&lt;&gt;"",BI32,IF(AO32&lt;&gt;"",AO32,O32))</f>
        <v>Ecuador</v>
      </c>
      <c r="CY32" s="231">
        <v>2</v>
      </c>
      <c r="CZ32" s="231">
        <v>30</v>
      </c>
      <c r="DA32" s="234" t="str">
        <f>Matches!H33</f>
        <v>Scotland</v>
      </c>
      <c r="DB32" s="234">
        <f>IF($DA$2&lt;&gt;"",IF(AND(Matches!J33&lt;&gt;"",Matches!K33&lt;&gt;""),Matches!J33,0),"")</f>
        <v>0</v>
      </c>
      <c r="DC32" s="234">
        <f>IF($DA$2&lt;&gt;"",IF(AND(Matches!J33&lt;&gt;"",Matches!K33&lt;&gt;""),Matches!K33,0),"")</f>
        <v>0</v>
      </c>
      <c r="DD32" s="234" t="str">
        <f>Matches!M33</f>
        <v>Morocco</v>
      </c>
      <c r="DE32" s="234" t="str">
        <f>IF(AND(Matches!J33&lt;&gt;"",Matches!K33&lt;&gt;""),IF(DB32&gt;DC32,"W",IF(DB32=DC32,"D","L")),"")</f>
        <v/>
      </c>
      <c r="DF32" s="231" t="str">
        <f t="shared" si="0"/>
        <v/>
      </c>
      <c r="DQ32" s="238"/>
      <c r="DR32" s="239"/>
      <c r="DS32" s="240" t="str">
        <f t="shared" si="16"/>
        <v>Egypt</v>
      </c>
      <c r="DT32" s="241" t="s">
        <v>659</v>
      </c>
      <c r="DU32" s="240"/>
      <c r="DV32" s="233">
        <v>26</v>
      </c>
      <c r="DW32" s="242" t="s">
        <v>84</v>
      </c>
      <c r="DX32" s="230"/>
      <c r="DY32" s="243">
        <v>26</v>
      </c>
      <c r="DZ32" s="244">
        <f t="shared" si="14"/>
        <v>46191.625</v>
      </c>
      <c r="EA32" s="245">
        <v>46191.625</v>
      </c>
      <c r="EB32" s="246">
        <f t="shared" si="15"/>
        <v>46191.625</v>
      </c>
      <c r="EC32" s="245"/>
      <c r="EE32" s="233" t="str">
        <f>INDEX(Language!$A$1:$K$177,MATCH(Setup!B33,Language!$B$1:$B$177,0),MATCH(Setup!$C$5,Language!$A$1:$J$1,0))</f>
        <v>Egypt</v>
      </c>
    </row>
    <row r="33" spans="1:135" ht="13.5" customHeight="1" x14ac:dyDescent="0.25">
      <c r="A33" s="230">
        <f>Setup!F26+100</f>
        <v>137</v>
      </c>
      <c r="B33" s="231">
        <f>VLOOKUP(C33,CX$31:CY$35,2,FALSE)</f>
        <v>3</v>
      </c>
      <c r="C33" s="232" t="str">
        <f t="shared" si="57"/>
        <v>Cote D'Voire</v>
      </c>
      <c r="D33" s="231">
        <f>SUMPRODUCT((DA$3:DA$105=C33)*(DE$3:DE$105="W"))+SUMPRODUCT((DD$3:DD$105=C33)*(DF$3:DF$105="W"))</f>
        <v>0</v>
      </c>
      <c r="E33" s="231">
        <f>SUMPRODUCT((DA$3:DA$105=C33)*(DE$3:DE$105="D"))+SUMPRODUCT((DD$3:DD$105=C33)*(DF$3:DF$105="D"))</f>
        <v>0</v>
      </c>
      <c r="F33" s="231">
        <f>SUMPRODUCT((DA$3:DA$105=C33)*(DE$3:DE$105="L"))+SUMPRODUCT((DD$3:DD$105=C33)*(DF$3:DF$105="L"))</f>
        <v>0</v>
      </c>
      <c r="G33" s="231">
        <f>SUMIF(DA3:DA123,C33,DB3:DB123)+SUMIF(DD3:DD123,C33,DC3:DC123)</f>
        <v>0</v>
      </c>
      <c r="H33" s="231">
        <f>SUMIF(DD3:DD123,C33,DB3:DB123)+SUMIF(DA3:DA123,C33,DC3:DC123)</f>
        <v>0</v>
      </c>
      <c r="I33" s="231">
        <f t="shared" si="53"/>
        <v>1000</v>
      </c>
      <c r="J33" s="231">
        <f t="shared" si="54"/>
        <v>0</v>
      </c>
      <c r="K33" s="231">
        <f>IF(Setup!G26&lt;&gt;"",Setup!G26,-A33)</f>
        <v>-137</v>
      </c>
      <c r="L33" s="231">
        <f>IF(COUNTIF(J31:J35,4)&lt;&gt;4,RANK(J33,J31:J35),J112)</f>
        <v>1</v>
      </c>
      <c r="N33" s="231">
        <f>SUMPRODUCT((L31:L34=L33)*(K31:K34&lt;K33))+L33</f>
        <v>2</v>
      </c>
      <c r="O33" s="232" t="str">
        <f>INDEX(C31:C35,MATCH(3,N31:N35,0),0)</f>
        <v>Ecuador</v>
      </c>
      <c r="P33" s="231">
        <f>INDEX(L31:L35,MATCH(O33,C31:C35,0),0)</f>
        <v>1</v>
      </c>
      <c r="Q33" s="231" t="str">
        <f>IF(AND(Q32&lt;&gt;"",P33=1),O33,"")</f>
        <v>Ecuador</v>
      </c>
      <c r="R33" s="231" t="str">
        <f>IF(AND(R32&lt;&gt;"",P34=2),O34,"")</f>
        <v/>
      </c>
      <c r="S33" s="231" t="str">
        <f>IF(AND(S32&lt;&gt;"",P35=3),O35,"")</f>
        <v/>
      </c>
      <c r="V33" s="231" t="str">
        <f t="shared" si="58"/>
        <v>Ecuador</v>
      </c>
      <c r="W33" s="231">
        <f>SUMPRODUCT((DA$3:DA$105=V33)*(DD$3:DD$105=V34)*(DE$3:DE$105="W"))+SUMPRODUCT((DA$3:DA$105=V33)*(DD$3:DD$105=V35)*(DE$3:DE$105="W"))+SUMPRODUCT((DA$3:DA$105=V33)*(DD$3:DD$105=V31)*(DE$3:DE$105="W"))+SUMPRODUCT((DA$3:DA$105=V33)*(DD$3:DD$105=V32)*(DE$3:DE$105="W"))+SUMPRODUCT((DA$3:DA$105=V34)*(DD$3:DD$105=V33)*(DF$3:DF$105="W"))+SUMPRODUCT((DA$3:DA$105=V35)*(DD$3:DD$105=V33)*(DF$3:DF$105="W"))+SUMPRODUCT((DA$3:DA$105=V31)*(DD$3:DD$105=V33)*(DF$3:DF$105="W"))+SUMPRODUCT((DA$3:DA$105=V32)*(DD$3:DD$105=V33)*(DF$3:DF$105="W"))</f>
        <v>0</v>
      </c>
      <c r="X33" s="231">
        <f>SUMPRODUCT((DA$3:DA$105=V33)*(DD$3:DD$105=V34)*(DE$3:DE$105="D"))+SUMPRODUCT((DA$3:DA$105=V33)*(DD$3:DD$105=V35)*(DE$3:DE$105="D"))+SUMPRODUCT((DA$3:DA$105=V33)*(DD$3:DD$105=V31)*(DE$3:DE$105="D"))+SUMPRODUCT((DA$3:DA$105=V33)*(DD$3:DD$105=V32)*(DE$3:DE$105="D"))+SUMPRODUCT((DA$3:DA$105=V34)*(DD$3:DD$105=V33)*(DE$3:DE$105="D"))+SUMPRODUCT((DA$3:DA$105=V35)*(DD$3:DD$105=V33)*(DE$3:DE$105="D"))+SUMPRODUCT((DA$3:DA$105=V31)*(DD$3:DD$105=V33)*(DE$3:DE$105="D"))+SUMPRODUCT((DA$3:DA$105=V32)*(DD$3:DD$105=V33)*(DE$3:DE$105="D"))</f>
        <v>0</v>
      </c>
      <c r="Y33" s="231">
        <f>SUMPRODUCT((DA$3:DA$105=V33)*(DD$3:DD$105=V34)*(DE$3:DE$105="L"))+SUMPRODUCT((DA$3:DA$105=V33)*(DD$3:DD$105=V35)*(DE$3:DE$105="L"))+SUMPRODUCT((DA$3:DA$105=V33)*(DD$3:DD$105=V31)*(DE$3:DE$105="L"))+SUMPRODUCT((DA$3:DA$105=V33)*(DD$3:DD$105=V32)*(DE$3:DE$105="L"))+SUMPRODUCT((DA$3:DA$105=V34)*(DD$3:DD$105=V33)*(DF$3:DF$105="L"))+SUMPRODUCT((DA$3:DA$105=V35)*(DD$3:DD$105=V33)*(DF$3:DF$105="L"))+SUMPRODUCT((DA$3:DA$105=V31)*(DD$3:DD$105=V33)*(DF$3:DF$105="L"))+SUMPRODUCT((DA$3:DA$105=V32)*(DD$3:DD$105=V33)*(DF$3:DF$105="L"))</f>
        <v>0</v>
      </c>
      <c r="Z33" s="231">
        <f>SUMPRODUCT((DA$3:DA$105=V33)*(DD$3:DD$105=V34)*DB$3:DB$105)+SUMPRODUCT((DA$3:DA$105=V33)*(DD$3:DD$105=V35)*DB$3:DB$105)+SUMPRODUCT((DA$3:DA$105=V33)*(DD$3:DD$105=V31)*DB$3:DB$105)+SUMPRODUCT((DA$3:DA$105=V33)*(DD$3:DD$105=V32)*DB$3:DB$105)+SUMPRODUCT((DA$3:DA$105=V34)*(DD$3:DD$105=V33)*DC$3:DC$105)+SUMPRODUCT((DA$3:DA$105=V35)*(DD$3:DD$105=V33)*DC$3:DC$105)+SUMPRODUCT((DA$3:DA$105=V31)*(DD$3:DD$105=V33)*DC$3:DC$105)+SUMPRODUCT((DA$3:DA$105=V32)*(DD$3:DD$105=V33)*DC$3:DC$105)</f>
        <v>0</v>
      </c>
      <c r="AA33" s="231">
        <f>SUMPRODUCT((DA$3:DA$105=V33)*(DD$3:DD$105=V34)*DC$3:DC$105)+SUMPRODUCT((DA$3:DA$105=V33)*(DD$3:DD$105=V35)*DC$3:DC$105)+SUMPRODUCT((DA$3:DA$105=V33)*(DD$3:DD$105=V31)*DC$3:DC$105)+SUMPRODUCT((DA$3:DA$105=V33)*(DD$3:DD$105=V32)*DC$3:DC$105)+SUMPRODUCT((DA$3:DA$105=V34)*(DD$3:DD$105=V33)*DB$3:DB$105)+SUMPRODUCT((DA$3:DA$105=V35)*(DD$3:DD$105=V33)*DB$3:DB$105)+SUMPRODUCT((DA$3:DA$105=V31)*(DD$3:DD$105=V33)*DB$3:DB$105)+SUMPRODUCT((DA$3:DA$105=V32)*(DD$3:DD$105=V33)*DB$3:DB$105)</f>
        <v>0</v>
      </c>
      <c r="AB33" s="231">
        <f>Z33-AA33+1000</f>
        <v>1000</v>
      </c>
      <c r="AC33" s="231">
        <f t="shared" si="55"/>
        <v>0</v>
      </c>
      <c r="AD33" s="231">
        <f>IF(V33&lt;&gt;"",VLOOKUP(V33,C$4:I$52,7,FALSE),"")</f>
        <v>1000</v>
      </c>
      <c r="AE33" s="231">
        <f>IF(V33&lt;&gt;"",VLOOKUP(V33,C$4:I$52,5,FALSE),"")</f>
        <v>0</v>
      </c>
      <c r="AF33" s="231">
        <f>IF(V33&lt;&gt;"",VLOOKUP(V33,C$4:K$52,9,FALSE),"")</f>
        <v>-123</v>
      </c>
      <c r="AG33" s="231">
        <f t="shared" si="56"/>
        <v>0</v>
      </c>
      <c r="AH33" s="231">
        <f>IF(V33&lt;&gt;"",RANK(AG33,AG31:AG35),"")</f>
        <v>1</v>
      </c>
      <c r="AI33" s="231">
        <f>IF(V33&lt;&gt;"",SUMPRODUCT((AG31:AG35=AG33)*(AB31:AB35&gt;AB33)),"")</f>
        <v>0</v>
      </c>
      <c r="AJ33" s="231">
        <f>IF(V33&lt;&gt;"",SUMPRODUCT((AG31:AG35=AG33)*(AB31:AB35=AB33)*(Z31:Z35&gt;Z33)),"")</f>
        <v>0</v>
      </c>
      <c r="AK33" s="231">
        <f>IF(V33&lt;&gt;"",SUMPRODUCT((AG31:AG35=AG33)*(AB31:AB35=AB33)*(Z31:Z35=Z33)*(AD31:AD35&gt;AD33)),"")</f>
        <v>0</v>
      </c>
      <c r="AL33" s="231">
        <f>IF(V33&lt;&gt;"",SUMPRODUCT((AG31:AG35=AG33)*(AB31:AB35=AB33)*(Z31:Z35=Z33)*(AD31:AD35=AD33)*(AE31:AE35&gt;AE33)),"")</f>
        <v>0</v>
      </c>
      <c r="AM33" s="231">
        <f>IF(V33&lt;&gt;"",SUMPRODUCT((AG31:AG35=AG33)*(AB31:AB35=AB33)*(Z31:Z35=Z33)*(AD31:AD35=AD33)*(AE31:AE35=AE33)*(AF31:AF35&gt;AF33)),"")</f>
        <v>1</v>
      </c>
      <c r="AN33" s="231">
        <f>IF(V33&lt;&gt;"",IF(AN112&lt;&gt;"",IF($U$109=3,AN112,IF($U$109=4,SUM(AH33:AM33),AN112+$U$109)),SUM(AH33:AM33)),"")</f>
        <v>2</v>
      </c>
      <c r="AO33" s="231" t="str">
        <f>IF(V33&lt;&gt;"",INDEX(V31:V35,MATCH(3,AN31:AN35,0),0),"")</f>
        <v>Cote D'Voire</v>
      </c>
      <c r="AP33" s="231" t="str">
        <f>IF(R32&lt;&gt;"",R32,"")</f>
        <v/>
      </c>
      <c r="AQ33" s="231">
        <f>SUMPRODUCT((DA$3:DA$105=AP33)*(DD$3:DD$105=AP34)*(DE$3:DE$105="W"))+SUMPRODUCT((DA$3:DA$105=AP33)*(DD$3:DD$105=AP35)*(DE$3:DE$105="W"))+SUMPRODUCT((DA$3:DA$105=AP33)*(DD$3:DD$105=AP32)*(DE$3:DE$105="W"))+SUMPRODUCT((DA$3:DA$105=AP34)*(DD$3:DD$105=AP33)*(DF$3:DF$105="W"))+SUMPRODUCT((DA$3:DA$105=AP35)*(DD$3:DD$105=AP33)*(DF$3:DF$105="W"))+SUMPRODUCT((DA$3:DA$105=AP32)*(DD$3:DD$105=AP33)*(DF$3:DF$105="W"))</f>
        <v>0</v>
      </c>
      <c r="AR33" s="231">
        <f>SUMPRODUCT((DA$3:DA$105=AP33)*(DD$3:DD$105=AP34)*(DE$3:DE$105="D"))+SUMPRODUCT((DA$3:DA$105=AP33)*(DD$3:DD$105=AP35)*(DE$3:DE$105="D"))+SUMPRODUCT((DA$3:DA$105=AP33)*(DD$3:DD$105=AP32)*(DE$3:DE$105="D"))+SUMPRODUCT((DA$3:DA$105=AP34)*(DD$3:DD$105=AP33)*(DE$3:DE$105="D"))+SUMPRODUCT((DA$3:DA$105=AP35)*(DD$3:DD$105=AP33)*(DE$3:DE$105="D"))+SUMPRODUCT((DA$3:DA$105=AP32)*(DD$3:DD$105=AP33)*(DE$3:DE$105="D"))</f>
        <v>0</v>
      </c>
      <c r="AS33" s="231">
        <f>SUMPRODUCT((DA$3:DA$105=AP33)*(DD$3:DD$105=AP34)*(DE$3:DE$105="L"))+SUMPRODUCT((DA$3:DA$105=AP33)*(DD$3:DD$105=AP35)*(DE$3:DE$105="L"))+SUMPRODUCT((DA$3:DA$105=AP33)*(DD$3:DD$105=AP32)*(DE$3:DE$105="L"))+SUMPRODUCT((DA$3:DA$105=AP34)*(DD$3:DD$105=AP33)*(DF$3:DF$105="L"))+SUMPRODUCT((DA$3:DA$105=AP35)*(DD$3:DD$105=AP33)*(DF$3:DF$105="L"))+SUMPRODUCT((DA$3:DA$105=AP32)*(DD$3:DD$105=AP33)*(DF$3:DF$105="L"))</f>
        <v>0</v>
      </c>
      <c r="AT33" s="231">
        <f>SUMPRODUCT((DA$3:DA$105=AP33)*(DD$3:DD$105=AP34)*DB$3:DB$105)+SUMPRODUCT((DA$3:DA$105=AP33)*(DD$3:DD$105=AP35)*DB$3:DB$105)+SUMPRODUCT((DA$3:DA$105=AP33)*(DD$3:DD$105=AP31)*DB$3:DB$105)+SUMPRODUCT((DA$3:DA$105=AP33)*(DD$3:DD$105=AP32)*DB$3:DB$105)+SUMPRODUCT((DA$3:DA$105=AP34)*(DD$3:DD$105=AP33)*DC$3:DC$105)+SUMPRODUCT((DA$3:DA$105=AP35)*(DD$3:DD$105=AP33)*DC$3:DC$105)+SUMPRODUCT((DA$3:DA$105=AP31)*(DD$3:DD$105=AP33)*DC$3:DC$105)+SUMPRODUCT((DA$3:DA$105=AP32)*(DD$3:DD$105=AP33)*DC$3:DC$105)</f>
        <v>0</v>
      </c>
      <c r="AU33" s="231">
        <f>SUMPRODUCT((DA$3:DA$105=AP33)*(DD$3:DD$105=AP34)*DC$3:DC$105)+SUMPRODUCT((DA$3:DA$105=AP33)*(DD$3:DD$105=AP35)*DC$3:DC$105)+SUMPRODUCT((DA$3:DA$105=AP33)*(DD$3:DD$105=AP31)*DC$3:DC$105)+SUMPRODUCT((DA$3:DA$105=AP33)*(DD$3:DD$105=AP32)*DC$3:DC$105)+SUMPRODUCT((DA$3:DA$105=AP34)*(DD$3:DD$105=AP33)*DB$3:DB$105)+SUMPRODUCT((DA$3:DA$105=AP35)*(DD$3:DD$105=AP33)*DB$3:DB$105)+SUMPRODUCT((DA$3:DA$105=AP31)*(DD$3:DD$105=AP33)*DB$3:DB$105)+SUMPRODUCT((DA$3:DA$105=AP32)*(DD$3:DD$105=AP33)*DB$3:DB$105)</f>
        <v>0</v>
      </c>
      <c r="AV33" s="231">
        <f>AT33-AU33+1000</f>
        <v>1000</v>
      </c>
      <c r="AW33" s="231" t="str">
        <f t="shared" si="59"/>
        <v/>
      </c>
      <c r="AX33" s="231" t="str">
        <f>IF(AP33&lt;&gt;"",VLOOKUP(AP33,C$4:I$52,7,FALSE),"")</f>
        <v/>
      </c>
      <c r="AY33" s="231" t="str">
        <f>IF(AP33&lt;&gt;"",VLOOKUP(AP33,C$4:I$52,5,FALSE),"")</f>
        <v/>
      </c>
      <c r="AZ33" s="231" t="str">
        <f>IF(AP33&lt;&gt;"",VLOOKUP(AP33,C$4:K$52,9,FALSE),"")</f>
        <v/>
      </c>
      <c r="BA33" s="231" t="str">
        <f t="shared" si="60"/>
        <v/>
      </c>
      <c r="BB33" s="231" t="str">
        <f>IF(AP33&lt;&gt;"",RANK(BA33,BA31:BA35),"")</f>
        <v/>
      </c>
      <c r="BC33" s="231" t="str">
        <f>IF(AP33&lt;&gt;"",SUMPRODUCT((BA31:BA35=BA33)*(AV31:AV35&gt;AV33)),"")</f>
        <v/>
      </c>
      <c r="BD33" s="231" t="str">
        <f>IF(AP33&lt;&gt;"",SUMPRODUCT((BA31:BA35=BA33)*(AV31:AV35=AV33)*(AT31:AT35&gt;AT33)),"")</f>
        <v/>
      </c>
      <c r="BE33" s="231" t="str">
        <f>IF(AP33&lt;&gt;"",SUMPRODUCT((BA31:BA35=BA33)*(AV31:AV35=AV33)*(AT31:AT35=AT33)*(AX31:AX35&gt;AX33)),"")</f>
        <v/>
      </c>
      <c r="BF33" s="231" t="str">
        <f>IF(AP33&lt;&gt;"",SUMPRODUCT((BA31:BA35=BA33)*(AV31:AV35=AV33)*(AT31:AT35=AT33)*(AX31:AX35=AX33)*(AY31:AY35&gt;AY33)),"")</f>
        <v/>
      </c>
      <c r="BG33" s="231" t="str">
        <f>IF(AP33&lt;&gt;"",SUMPRODUCT((BA31:BA35=BA33)*(AV31:AV35=AV33)*(AT31:AT35=AT33)*(AX31:AX35=AX33)*(AY31:AY35=AY33)*(AZ31:AZ35&gt;AZ33)),"")</f>
        <v/>
      </c>
      <c r="BH33" s="231" t="str">
        <f>IF(AP33&lt;&gt;"",IF(BH112&lt;&gt;"",IF(AO109=3,BH112,BH112+AO109),SUM(BB33:BG33)+1),"")</f>
        <v/>
      </c>
      <c r="BI33" s="231" t="str">
        <f>IF(AP33&lt;&gt;"",INDEX(AP32:AP35,MATCH(3,BH32:BH35,0),0),"")</f>
        <v/>
      </c>
      <c r="BJ33" s="231" t="str">
        <f>IF(S31&lt;&gt;"",S31,"")</f>
        <v/>
      </c>
      <c r="BK33" s="231">
        <f>SUMPRODUCT((DA$3:DA$105=BJ33)*(DD$3:DD$105=BJ34)*(DE$3:DE$105="W"))+SUMPRODUCT((DA$3:DA$105=BJ33)*(DD$3:DD$105=BJ35)*(DE$3:DE$105="W"))+SUMPRODUCT((DA$3:DA$105=BJ33)*(DD$3:DD$105=BJ36)*(DE$3:DE$105="W"))+SUMPRODUCT((DA$3:DA$105=BJ34)*(DD$3:DD$105=BJ33)*(DF$3:DF$105="W"))+SUMPRODUCT((DA$3:DA$105=BJ35)*(DD$3:DD$105=BJ33)*(DF$3:DF$105="W"))+SUMPRODUCT((DA$3:DA$105=BJ36)*(DD$3:DD$105=BJ33)*(DF$3:DF$105="W"))</f>
        <v>0</v>
      </c>
      <c r="BL33" s="231">
        <f>SUMPRODUCT((DA$3:DA$105=BJ33)*(DD$3:DD$105=BJ34)*(DE$3:DE$105="D"))+SUMPRODUCT((DA$3:DA$105=BJ33)*(DD$3:DD$105=BJ35)*(DE$3:DE$105="D"))+SUMPRODUCT((DA$3:DA$105=BJ33)*(DD$3:DD$105=BJ36)*(DE$3:DE$105="D"))+SUMPRODUCT((DA$3:DA$105=BJ34)*(DD$3:DD$105=BJ33)*(DE$3:DE$105="D"))+SUMPRODUCT((DA$3:DA$105=BJ35)*(DD$3:DD$105=BJ33)*(DE$3:DE$105="D"))+SUMPRODUCT((DA$3:DA$105=BJ36)*(DD$3:DD$105=BJ33)*(DE$3:DE$105="D"))</f>
        <v>0</v>
      </c>
      <c r="BM33" s="231">
        <f>SUMPRODUCT((DA$3:DA$105=BJ33)*(DD$3:DD$105=BJ34)*(DE$3:DE$105="L"))+SUMPRODUCT((DA$3:DA$105=BJ33)*(DD$3:DD$105=BJ35)*(DE$3:DE$105="L"))+SUMPRODUCT((DA$3:DA$105=BJ33)*(DD$3:DD$105=BJ36)*(DE$3:DE$105="L"))+SUMPRODUCT((DA$3:DA$105=BJ34)*(DD$3:DD$105=BJ33)*(DF$3:DF$105="L"))+SUMPRODUCT((DA$3:DA$105=BJ35)*(DD$3:DD$105=BJ33)*(DF$3:DF$105="L"))+SUMPRODUCT((DA$3:DA$105=BJ36)*(DD$3:DD$105=BJ33)*(DF$3:DF$105="L"))</f>
        <v>0</v>
      </c>
      <c r="BN33" s="231">
        <f>SUMPRODUCT((DA$3:DA$105=BJ33)*(DD$3:DD$105=BJ34)*DB$3:DB$105)+SUMPRODUCT((DA$3:DA$105=BJ33)*(DD$3:DD$105=BJ35)*DB$3:DB$105)+SUMPRODUCT((DA$3:DA$105=BJ33)*(DD$3:DD$105=BJ31)*DB$3:DB$105)+SUMPRODUCT((DA$3:DA$105=BJ33)*(DD$3:DD$105=BJ32)*DB$3:DB$105)+SUMPRODUCT((DA$3:DA$105=BJ34)*(DD$3:DD$105=BJ33)*DC$3:DC$105)+SUMPRODUCT((DA$3:DA$105=BJ35)*(DD$3:DD$105=BJ33)*DC$3:DC$105)+SUMPRODUCT((DA$3:DA$105=BJ31)*(DD$3:DD$105=BJ33)*DC$3:DC$105)+SUMPRODUCT((DA$3:DA$105=BJ32)*(DD$3:DD$105=BJ33)*DC$3:DC$105)</f>
        <v>0</v>
      </c>
      <c r="BO33" s="231">
        <f>SUMPRODUCT((DA$3:DA$105=BJ33)*(DD$3:DD$105=BJ34)*DC$3:DC$105)+SUMPRODUCT((DA$3:DA$105=BJ33)*(DD$3:DD$105=BJ35)*DC$3:DC$105)+SUMPRODUCT((DA$3:DA$105=BJ33)*(DD$3:DD$105=BJ31)*DC$3:DC$105)+SUMPRODUCT((DA$3:DA$105=BJ33)*(DD$3:DD$105=BJ32)*DC$3:DC$105)+SUMPRODUCT((DA$3:DA$105=BJ34)*(DD$3:DD$105=BJ33)*DB$3:DB$105)+SUMPRODUCT((DA$3:DA$105=BJ35)*(DD$3:DD$105=BJ33)*DB$3:DB$105)+SUMPRODUCT((DA$3:DA$105=BJ31)*(DD$3:DD$105=BJ33)*DB$3:DB$105)+SUMPRODUCT((DA$3:DA$105=BJ32)*(DD$3:DD$105=BJ33)*DB$3:DB$105)</f>
        <v>0</v>
      </c>
      <c r="BP33" s="231">
        <f>BN33-BO33+1000</f>
        <v>1000</v>
      </c>
      <c r="BQ33" s="231" t="str">
        <f t="shared" ref="BQ33:BQ34" si="61">IF(BJ33&lt;&gt;"",BK33*3+BL33*1,"")</f>
        <v/>
      </c>
      <c r="BR33" s="231" t="str">
        <f>IF(BJ33&lt;&gt;"",VLOOKUP(BJ33,C$4:I$52,7,FALSE),"")</f>
        <v/>
      </c>
      <c r="BS33" s="231" t="str">
        <f>IF(BJ33&lt;&gt;"",VLOOKUP(BJ33,C$4:I$52,5,FALSE),"")</f>
        <v/>
      </c>
      <c r="BT33" s="231" t="str">
        <f>IF(BJ33&lt;&gt;"",VLOOKUP(BJ33,C$4:K$52,9,FALSE),"")</f>
        <v/>
      </c>
      <c r="BU33" s="231" t="str">
        <f t="shared" ref="BU33:BU34" si="62">BQ33</f>
        <v/>
      </c>
      <c r="BV33" s="231" t="str">
        <f>IF(BJ33&lt;&gt;"",RANK(BU33,BU32:BU35),"")</f>
        <v/>
      </c>
      <c r="BW33" s="231" t="str">
        <f>IF(BJ33&lt;&gt;"",SUMPRODUCT((BU31:BU35=BU33)*(BP31:BP35&gt;BP33)),"")</f>
        <v/>
      </c>
      <c r="BX33" s="231" t="str">
        <f>IF(BJ33&lt;&gt;"",SUMPRODUCT((BU31:BU35=BU33)*(BP31:BP35=BP33)*(BN31:BN35&gt;BN33)),"")</f>
        <v/>
      </c>
      <c r="BY33" s="231" t="str">
        <f>IF(BJ33&lt;&gt;"",SUMPRODUCT((BU31:BU35=BU33)*(BP31:BP35=BP33)*(BN31:BN35=BN33)*(BR31:BR35&gt;BR33)),"")</f>
        <v/>
      </c>
      <c r="BZ33" s="231" t="str">
        <f>IF(BJ33&lt;&gt;"",SUMPRODUCT((BU31:BU35=BU33)*(BP31:BP35=BP33)*(BN31:BN35=BN33)*(BR31:BR35=BR33)*(BS31:BS35&gt;BS33)),"")</f>
        <v/>
      </c>
      <c r="CA33" s="231" t="str">
        <f>IF(BJ33&lt;&gt;"",SUMPRODUCT((BU31:BU35=BU33)*(BP31:BP35=BP33)*(BN31:BN35=BN33)*(BR31:BR35=BR33)*(BS31:BS35=BS33)*(BT31:BT35&gt;BT33)),"")</f>
        <v/>
      </c>
      <c r="CB33" s="231" t="str">
        <f>IF(BJ33&lt;&gt;"",SUM(BV33:CA33)+2,"")</f>
        <v/>
      </c>
      <c r="CC33" s="231" t="str">
        <f>IF(BJ33&lt;&gt;"",INDEX(BJ33:BJ35,MATCH(3,CB33:CB35,0),0),"")</f>
        <v/>
      </c>
      <c r="CX33" s="231" t="str">
        <f>IF(CC33&lt;&gt;"",CC33,IF(BI33&lt;&gt;"",BI33,IF(AO33&lt;&gt;"",AO33,O33)))</f>
        <v>Cote D'Voire</v>
      </c>
      <c r="CY33" s="231">
        <v>3</v>
      </c>
      <c r="CZ33" s="231">
        <v>31</v>
      </c>
      <c r="DA33" s="234" t="str">
        <f>Matches!H34</f>
        <v>Türkiye</v>
      </c>
      <c r="DB33" s="234">
        <f>IF($DA$2&lt;&gt;"",IF(AND(Matches!J34&lt;&gt;"",Matches!K34&lt;&gt;""),Matches!J34,0),"")</f>
        <v>0</v>
      </c>
      <c r="DC33" s="234">
        <f>IF($DA$2&lt;&gt;"",IF(AND(Matches!J34&lt;&gt;"",Matches!K34&lt;&gt;""),Matches!K34,0),"")</f>
        <v>0</v>
      </c>
      <c r="DD33" s="234" t="str">
        <f>Matches!M34</f>
        <v>Paraguay</v>
      </c>
      <c r="DE33" s="234" t="str">
        <f>IF(AND(Matches!J34&lt;&gt;"",Matches!K34&lt;&gt;""),IF(DB33&gt;DC33,"W",IF(DB33=DC33,"D","L")),"")</f>
        <v/>
      </c>
      <c r="DF33" s="231" t="str">
        <f t="shared" si="0"/>
        <v/>
      </c>
      <c r="DQ33" s="238"/>
      <c r="DR33" s="239"/>
      <c r="DS33" s="240" t="str">
        <f t="shared" si="16"/>
        <v>Iran</v>
      </c>
      <c r="DT33" s="241" t="s">
        <v>660</v>
      </c>
      <c r="DU33" s="240"/>
      <c r="DV33" s="233">
        <v>27</v>
      </c>
      <c r="DW33" s="242" t="s">
        <v>85</v>
      </c>
      <c r="DX33" s="230"/>
      <c r="DY33" s="243">
        <v>27</v>
      </c>
      <c r="DZ33" s="244">
        <f t="shared" si="14"/>
        <v>46191.75</v>
      </c>
      <c r="EA33" s="245">
        <v>46191.75</v>
      </c>
      <c r="EB33" s="246">
        <f t="shared" si="15"/>
        <v>46191.75</v>
      </c>
      <c r="EC33" s="245"/>
      <c r="EE33" s="233" t="str">
        <f>INDEX(Language!$A$1:$K$177,MATCH(Setup!B34,Language!$B$1:$B$177,0),MATCH(Setup!$C$5,Language!$A$1:$J$1,0))</f>
        <v>Iran</v>
      </c>
    </row>
    <row r="34" spans="1:135" ht="13.5" customHeight="1" x14ac:dyDescent="0.25">
      <c r="A34" s="230">
        <f>Setup!F27+100</f>
        <v>123</v>
      </c>
      <c r="B34" s="231">
        <f>VLOOKUP(C34,CX$31:CY$35,2,FALSE)</f>
        <v>2</v>
      </c>
      <c r="C34" s="232" t="str">
        <f t="shared" si="57"/>
        <v>Ecuador</v>
      </c>
      <c r="D34" s="231">
        <f>SUMPRODUCT((DA$3:DA$105=C34)*(DE$3:DE$105="W"))+SUMPRODUCT((DD$3:DD$105=C34)*(DF$3:DF$105="W"))</f>
        <v>0</v>
      </c>
      <c r="E34" s="231">
        <f>SUMPRODUCT((DA$3:DA$105=C34)*(DE$3:DE$105="D"))+SUMPRODUCT((DD$3:DD$105=C34)*(DF$3:DF$105="D"))</f>
        <v>0</v>
      </c>
      <c r="F34" s="231">
        <f>SUMPRODUCT((DA$3:DA$105=C34)*(DE$3:DE$105="L"))+SUMPRODUCT((DD$3:DD$105=C34)*(DF$3:DF$105="L"))</f>
        <v>0</v>
      </c>
      <c r="G34" s="231">
        <f>SUMIF(DA3:DA123,C34,DB3:DB123)+SUMIF(DD3:DD123,C34,DC3:DC123)</f>
        <v>0</v>
      </c>
      <c r="H34" s="231">
        <f>SUMIF(DD3:DD123,C34,DB3:DB123)+SUMIF(DA3:DA123,C34,DC3:DC123)</f>
        <v>0</v>
      </c>
      <c r="I34" s="231">
        <f t="shared" si="53"/>
        <v>1000</v>
      </c>
      <c r="J34" s="231">
        <f t="shared" si="54"/>
        <v>0</v>
      </c>
      <c r="K34" s="231">
        <f>IF(Setup!G27&lt;&gt;"",Setup!G27,-A34)</f>
        <v>-123</v>
      </c>
      <c r="L34" s="231">
        <f>IF(COUNTIF(J31:J35,4)&lt;&gt;4,RANK(J34,J31:J35),J113)</f>
        <v>1</v>
      </c>
      <c r="N34" s="231">
        <f>SUMPRODUCT((L31:L34=L34)*(K31:K34&lt;K34))+L34</f>
        <v>3</v>
      </c>
      <c r="O34" s="232" t="str">
        <f>INDEX(C31:C35,MATCH(4,N31:N35,0),0)</f>
        <v>Germany</v>
      </c>
      <c r="P34" s="231">
        <f>INDEX(L31:L35,MATCH(O34,C31:C35,0),0)</f>
        <v>1</v>
      </c>
      <c r="Q34" s="231" t="str">
        <f>IF(AND(Q33&lt;&gt;"",P34=1),O34,"")</f>
        <v>Germany</v>
      </c>
      <c r="R34" s="231" t="str">
        <f>IF(AND(R33&lt;&gt;"",P35=2),O35,"")</f>
        <v/>
      </c>
      <c r="V34" s="231" t="str">
        <f t="shared" si="58"/>
        <v>Germany</v>
      </c>
      <c r="W34" s="231">
        <f>SUMPRODUCT((DA$3:DA$105=V34)*(DD$3:DD$105=V35)*(DE$3:DE$105="W"))+SUMPRODUCT((DA$3:DA$105=V34)*(DD$3:DD$105=V31)*(DE$3:DE$105="W"))+SUMPRODUCT((DA$3:DA$105=V34)*(DD$3:DD$105=V32)*(DE$3:DE$105="W"))+SUMPRODUCT((DA$3:DA$105=V34)*(DD$3:DD$105=V33)*(DE$3:DE$105="W"))+SUMPRODUCT((DA$3:DA$105=V35)*(DD$3:DD$105=V34)*(DF$3:DF$105="W"))+SUMPRODUCT((DA$3:DA$105=V31)*(DD$3:DD$105=V34)*(DF$3:DF$105="W"))+SUMPRODUCT((DA$3:DA$105=V32)*(DD$3:DD$105=V34)*(DF$3:DF$105="W"))+SUMPRODUCT((DA$3:DA$105=V33)*(DD$3:DD$105=V34)*(DF$3:DF$105="W"))</f>
        <v>0</v>
      </c>
      <c r="X34" s="231">
        <f>SUMPRODUCT((DA$3:DA$105=V34)*(DD$3:DD$105=V35)*(DE$3:DE$105="D"))+SUMPRODUCT((DA$3:DA$105=V34)*(DD$3:DD$105=V31)*(DE$3:DE$105="D"))+SUMPRODUCT((DA$3:DA$105=V34)*(DD$3:DD$105=V32)*(DE$3:DE$105="D"))+SUMPRODUCT((DA$3:DA$105=V34)*(DD$3:DD$105=V33)*(DE$3:DE$105="D"))+SUMPRODUCT((DA$3:DA$105=V35)*(DD$3:DD$105=V34)*(DE$3:DE$105="D"))+SUMPRODUCT((DA$3:DA$105=V31)*(DD$3:DD$105=V34)*(DE$3:DE$105="D"))+SUMPRODUCT((DA$3:DA$105=V32)*(DD$3:DD$105=V34)*(DE$3:DE$105="D"))+SUMPRODUCT((DA$3:DA$105=V33)*(DD$3:DD$105=V34)*(DE$3:DE$105="D"))</f>
        <v>0</v>
      </c>
      <c r="Y34" s="231">
        <f>SUMPRODUCT((DA$3:DA$105=V34)*(DD$3:DD$105=V35)*(DE$3:DE$105="L"))+SUMPRODUCT((DA$3:DA$105=V34)*(DD$3:DD$105=V31)*(DE$3:DE$105="L"))+SUMPRODUCT((DA$3:DA$105=V34)*(DD$3:DD$105=V32)*(DE$3:DE$105="L"))+SUMPRODUCT((DA$3:DA$105=V34)*(DD$3:DD$105=V33)*(DE$3:DE$105="L"))+SUMPRODUCT((DA$3:DA$105=V35)*(DD$3:DD$105=V34)*(DF$3:DF$105="L"))+SUMPRODUCT((DA$3:DA$105=V31)*(DD$3:DD$105=V34)*(DF$3:DF$105="L"))+SUMPRODUCT((DA$3:DA$105=V32)*(DD$3:DD$105=V34)*(DF$3:DF$105="L"))+SUMPRODUCT((DA$3:DA$105=V33)*(DD$3:DD$105=V34)*(DF$3:DF$105="L"))</f>
        <v>0</v>
      </c>
      <c r="Z34" s="231">
        <f>SUMPRODUCT((DA$3:DA$105=V34)*(DD$3:DD$105=V35)*DB$3:DB$105)+SUMPRODUCT((DA$3:DA$105=V34)*(DD$3:DD$105=V31)*DB$3:DB$105)+SUMPRODUCT((DA$3:DA$105=V34)*(DD$3:DD$105=V32)*DB$3:DB$105)+SUMPRODUCT((DA$3:DA$105=V34)*(DD$3:DD$105=V33)*DB$3:DB$105)+SUMPRODUCT((DA$3:DA$105=V35)*(DD$3:DD$105=V34)*DC$3:DC$105)+SUMPRODUCT((DA$3:DA$105=V31)*(DD$3:DD$105=V34)*DC$3:DC$105)+SUMPRODUCT((DA$3:DA$105=V32)*(DD$3:DD$105=V34)*DC$3:DC$105)+SUMPRODUCT((DA$3:DA$105=V33)*(DD$3:DD$105=V34)*DC$3:DC$105)</f>
        <v>0</v>
      </c>
      <c r="AA34" s="231">
        <f>SUMPRODUCT((DA$3:DA$105=V34)*(DD$3:DD$105=V35)*DC$3:DC$105)+SUMPRODUCT((DA$3:DA$105=V34)*(DD$3:DD$105=V31)*DC$3:DC$105)+SUMPRODUCT((DA$3:DA$105=V34)*(DD$3:DD$105=V32)*DC$3:DC$105)+SUMPRODUCT((DA$3:DA$105=V34)*(DD$3:DD$105=V33)*DC$3:DC$105)+SUMPRODUCT((DA$3:DA$105=V35)*(DD$3:DD$105=V34)*DB$3:DB$105)+SUMPRODUCT((DA$3:DA$105=V31)*(DD$3:DD$105=V34)*DB$3:DB$105)+SUMPRODUCT((DA$3:DA$105=V32)*(DD$3:DD$105=V34)*DB$3:DB$105)+SUMPRODUCT((DA$3:DA$105=V33)*(DD$3:DD$105=V34)*DB$3:DB$105)</f>
        <v>0</v>
      </c>
      <c r="AB34" s="231">
        <f>Z34-AA34+1000</f>
        <v>1000</v>
      </c>
      <c r="AC34" s="231">
        <f t="shared" si="55"/>
        <v>0</v>
      </c>
      <c r="AD34" s="231">
        <f>IF(V34&lt;&gt;"",VLOOKUP(V34,C$4:I$52,7,FALSE),"")</f>
        <v>1000</v>
      </c>
      <c r="AE34" s="231">
        <f>IF(V34&lt;&gt;"",VLOOKUP(V34,C$4:I$52,5,FALSE),"")</f>
        <v>0</v>
      </c>
      <c r="AF34" s="231">
        <f>IF(V34&lt;&gt;"",VLOOKUP(V34,C$4:K$52,9,FALSE),"")</f>
        <v>-110</v>
      </c>
      <c r="AG34" s="231">
        <f t="shared" si="56"/>
        <v>0</v>
      </c>
      <c r="AH34" s="231">
        <f>IF(V34&lt;&gt;"",RANK(AG34,AG31:AG35),"")</f>
        <v>1</v>
      </c>
      <c r="AI34" s="231">
        <f>IF(V34&lt;&gt;"",SUMPRODUCT((AG31:AG35=AG34)*(AB31:AB35&gt;AB34)),"")</f>
        <v>0</v>
      </c>
      <c r="AJ34" s="231">
        <f>IF(V34&lt;&gt;"",SUMPRODUCT((AG31:AG35=AG34)*(AB31:AB35=AB34)*(Z31:Z35&gt;Z34)),"")</f>
        <v>0</v>
      </c>
      <c r="AK34" s="231">
        <f>IF(V34&lt;&gt;"",SUMPRODUCT((AG31:AG35=AG34)*(AB31:AB35=AB34)*(Z31:Z35=Z34)*(AD31:AD35&gt;AD34)),"")</f>
        <v>0</v>
      </c>
      <c r="AL34" s="231">
        <f>IF(V34&lt;&gt;"",SUMPRODUCT((AG31:AG35=AG34)*(AB31:AB35=AB34)*(Z31:Z35=Z34)*(AD31:AD35=AD34)*(AE31:AE35&gt;AE34)),"")</f>
        <v>0</v>
      </c>
      <c r="AM34" s="231">
        <f>IF(V34&lt;&gt;"",SUMPRODUCT((AG31:AG35=AG34)*(AB31:AB35=AB34)*(Z31:Z35=Z34)*(AD31:AD35=AD34)*(AE31:AE35=AE34)*(AF31:AF35&gt;AF34)),"")</f>
        <v>0</v>
      </c>
      <c r="AN34" s="231">
        <f>IF(V34&lt;&gt;"",IF(AN113&lt;&gt;"",IF($U$109=3,AN113,IF($U$109=4,SUM(AH34:AM34),AN113+$U$109)),SUM(AH34:AM34)),"")</f>
        <v>1</v>
      </c>
      <c r="AO34" s="231" t="str">
        <f>IF(V34&lt;&gt;"",INDEX(V31:V35,MATCH(4,AN31:AN35,0),0),"")</f>
        <v>Curacao</v>
      </c>
      <c r="AP34" s="231" t="str">
        <f>IF(R33&lt;&gt;"",R33,"")</f>
        <v/>
      </c>
      <c r="AQ34" s="231" t="str">
        <f>IF(AP34&lt;&gt;"",SUMPRODUCT((DA$3:DA$105=AP34)*(DD$3:DD$105=AP35)*(DE$3:DE$105="W"))+SUMPRODUCT((DA$3:DA$105=AP34)*(DD$3:DD$105=AP32)*(DE$3:DE$105="W"))+SUMPRODUCT((DA$3:DA$105=AP34)*(DD$3:DD$105=AP33)*(DE$3:DE$105="W"))+SUMPRODUCT((DA$3:DA$105=AP35)*(DD$3:DD$105=AP34)*(DF$3:DF$105="W"))+SUMPRODUCT((DA$3:DA$105=AP32)*(DD$3:DD$105=AP34)*(DF$3:DF$105="W"))+SUMPRODUCT((DA$3:DA$105=AP33)*(DD$3:DD$105=AP34)*(DF$3:DF$105="W")),"")</f>
        <v/>
      </c>
      <c r="AR34" s="231" t="str">
        <f>IF(AP34&lt;&gt;"",SUMPRODUCT((DA$3:DA$105=AP34)*(DD$3:DD$105=AP35)*(DE$3:DE$105="D"))+SUMPRODUCT((DA$3:DA$105=AP34)*(DD$3:DD$105=AP32)*(DE$3:DE$105="D"))+SUMPRODUCT((DA$3:DA$105=AP34)*(DD$3:DD$105=AP33)*(DE$3:DE$105="D"))+SUMPRODUCT((DA$3:DA$105=AP35)*(DD$3:DD$105=AP34)*(DE$3:DE$105="D"))+SUMPRODUCT((DA$3:DA$105=AP32)*(DD$3:DD$105=AP34)*(DE$3:DE$105="D"))+SUMPRODUCT((DA$3:DA$105=AP33)*(DD$3:DD$105=AP34)*(DE$3:DE$105="D")),"")</f>
        <v/>
      </c>
      <c r="AS34" s="231" t="str">
        <f>IF(AP34&lt;&gt;"",SUMPRODUCT((DA$3:DA$105=AP34)*(DD$3:DD$105=AP35)*(DE$3:DE$105="L"))+SUMPRODUCT((DA$3:DA$105=AP34)*(DD$3:DD$105=AP32)*(DE$3:DE$105="L"))+SUMPRODUCT((DA$3:DA$105=AP34)*(DD$3:DD$105=AP33)*(DE$3:DE$105="L"))+SUMPRODUCT((DA$3:DA$105=AP35)*(DD$3:DD$105=AP34)*(DF$3:DF$105="L"))+SUMPRODUCT((DA$3:DA$105=AP32)*(DD$3:DD$105=AP34)*(DF$3:DF$105="L"))+SUMPRODUCT((DA$3:DA$105=AP33)*(DD$3:DD$105=AP34)*(DF$3:DF$105="L")),"")</f>
        <v/>
      </c>
      <c r="AT34" s="231">
        <f>SUMPRODUCT((DA$3:DA$105=AP34)*(DD$3:DD$105=AP35)*DB$3:DB$105)+SUMPRODUCT((DA$3:DA$105=AP34)*(DD$3:DD$105=AP31)*DB$3:DB$105)+SUMPRODUCT((DA$3:DA$105=AP34)*(DD$3:DD$105=AP32)*DB$3:DB$105)+SUMPRODUCT((DA$3:DA$105=AP34)*(DD$3:DD$105=AP33)*DB$3:DB$105)+SUMPRODUCT((DA$3:DA$105=AP35)*(DD$3:DD$105=AP34)*DC$3:DC$105)+SUMPRODUCT((DA$3:DA$105=AP31)*(DD$3:DD$105=AP34)*DC$3:DC$105)+SUMPRODUCT((DA$3:DA$105=AP32)*(DD$3:DD$105=AP34)*DC$3:DC$105)+SUMPRODUCT((DA$3:DA$105=AP33)*(DD$3:DD$105=AP34)*DC$3:DC$105)</f>
        <v>0</v>
      </c>
      <c r="AU34" s="231">
        <f>SUMPRODUCT((DA$3:DA$105=AP34)*(DD$3:DD$105=AP35)*DC$3:DC$105)+SUMPRODUCT((DA$3:DA$105=AP34)*(DD$3:DD$105=AP31)*DC$3:DC$105)+SUMPRODUCT((DA$3:DA$105=AP34)*(DD$3:DD$105=AP32)*DC$3:DC$105)+SUMPRODUCT((DA$3:DA$105=AP34)*(DD$3:DD$105=AP33)*DC$3:DC$105)+SUMPRODUCT((DA$3:DA$105=AP35)*(DD$3:DD$105=AP34)*DB$3:DB$105)+SUMPRODUCT((DA$3:DA$105=AP31)*(DD$3:DD$105=AP34)*DB$3:DB$105)+SUMPRODUCT((DA$3:DA$105=AP32)*(DD$3:DD$105=AP34)*DB$3:DB$105)+SUMPRODUCT((DA$3:DA$105=AP33)*(DD$3:DD$105=AP34)*DB$3:DB$105)</f>
        <v>0</v>
      </c>
      <c r="AV34" s="231">
        <f>AT34-AU34+1000</f>
        <v>1000</v>
      </c>
      <c r="AW34" s="231" t="str">
        <f t="shared" si="59"/>
        <v/>
      </c>
      <c r="AX34" s="231" t="str">
        <f>IF(AP34&lt;&gt;"",VLOOKUP(AP34,C$4:I$52,7,FALSE),"")</f>
        <v/>
      </c>
      <c r="AY34" s="231" t="str">
        <f>IF(AP34&lt;&gt;"",VLOOKUP(AP34,C$4:I$52,5,FALSE),"")</f>
        <v/>
      </c>
      <c r="AZ34" s="231" t="str">
        <f>IF(AP34&lt;&gt;"",VLOOKUP(AP34,C$4:K$52,9,FALSE),"")</f>
        <v/>
      </c>
      <c r="BA34" s="231" t="str">
        <f t="shared" si="60"/>
        <v/>
      </c>
      <c r="BB34" s="231" t="str">
        <f>IF(AP34&lt;&gt;"",RANK(BA34,BA31:BA35),"")</f>
        <v/>
      </c>
      <c r="BC34" s="231" t="str">
        <f>IF(AP34&lt;&gt;"",SUMPRODUCT((BA31:BA35=BA34)*(AV31:AV35&gt;AV34)),"")</f>
        <v/>
      </c>
      <c r="BD34" s="231" t="str">
        <f>IF(AP34&lt;&gt;"",SUMPRODUCT((BA31:BA35=BA34)*(AV31:AV35=AV34)*(AT31:AT35&gt;AT34)),"")</f>
        <v/>
      </c>
      <c r="BE34" s="231" t="str">
        <f>IF(AP34&lt;&gt;"",SUMPRODUCT((BA31:BA35=BA34)*(AV31:AV35=AV34)*(AT31:AT35=AT34)*(AX31:AX35&gt;AX34)),"")</f>
        <v/>
      </c>
      <c r="BF34" s="231" t="str">
        <f>IF(AP34&lt;&gt;"",SUMPRODUCT((BA31:BA35=BA34)*(AV31:AV35=AV34)*(AT31:AT35=AT34)*(AX31:AX35=AX34)*(AY31:AY35&gt;AY34)),"")</f>
        <v/>
      </c>
      <c r="BG34" s="231" t="str">
        <f>IF(AP34&lt;&gt;"",SUMPRODUCT((BA31:BA35=BA34)*(AV31:AV35=AV34)*(AT31:AT35=AT34)*(AX31:AX35=AX34)*(AY31:AY35=AY34)*(AZ31:AZ35&gt;AZ34)),"")</f>
        <v/>
      </c>
      <c r="BH34" s="231" t="str">
        <f>IF(AP34&lt;&gt;"",IF(BH113&lt;&gt;"",IF(AO109=3,BH113,BH113+AO109),SUM(BB34:BG34)+1),"")</f>
        <v/>
      </c>
      <c r="BI34" s="231" t="str">
        <f>IF(AP34&lt;&gt;"",INDEX(AP32:AP35,MATCH(4,BH32:BH35,0),0),"")</f>
        <v/>
      </c>
      <c r="BJ34" s="231" t="str">
        <f>IF(S32&lt;&gt;"",S32,"")</f>
        <v/>
      </c>
      <c r="BK34" s="231">
        <f>SUMPRODUCT((DA$3:DA$105=BJ34)*(DD$3:DD$105=BJ35)*(DE$3:DE$105="W"))+SUMPRODUCT((DA$3:DA$105=BJ34)*(DD$3:DD$105=BJ36)*(DE$3:DE$105="W"))+SUMPRODUCT((DA$3:DA$105=BJ34)*(DD$3:DD$105=BJ33)*(DE$3:DE$105="W"))+SUMPRODUCT((DA$3:DA$105=BJ35)*(DD$3:DD$105=BJ34)*(DF$3:DF$105="W"))+SUMPRODUCT((DA$3:DA$105=BJ36)*(DD$3:DD$105=BJ34)*(DF$3:DF$105="W"))+SUMPRODUCT((DA$3:DA$105=BJ33)*(DD$3:DD$105=BJ34)*(DF$3:DF$105="W"))</f>
        <v>0</v>
      </c>
      <c r="BL34" s="231">
        <f>SUMPRODUCT((DA$3:DA$105=BJ34)*(DD$3:DD$105=BJ35)*(DE$3:DE$105="D"))+SUMPRODUCT((DA$3:DA$105=BJ34)*(DD$3:DD$105=BJ36)*(DE$3:DE$105="D"))+SUMPRODUCT((DA$3:DA$105=BJ34)*(DD$3:DD$105=BJ33)*(DE$3:DE$105="D"))+SUMPRODUCT((DA$3:DA$105=BJ35)*(DD$3:DD$105=BJ34)*(DE$3:DE$105="D"))+SUMPRODUCT((DA$3:DA$105=BJ36)*(DD$3:DD$105=BJ34)*(DE$3:DE$105="D"))+SUMPRODUCT((DA$3:DA$105=BJ33)*(DD$3:DD$105=BJ34)*(DE$3:DE$105="D"))</f>
        <v>0</v>
      </c>
      <c r="BM34" s="231">
        <f>SUMPRODUCT((DA$3:DA$105=BJ34)*(DD$3:DD$105=BJ35)*(DE$3:DE$105="L"))+SUMPRODUCT((DA$3:DA$105=BJ34)*(DD$3:DD$105=BJ36)*(DE$3:DE$105="L"))+SUMPRODUCT((DA$3:DA$105=BJ34)*(DD$3:DD$105=BJ33)*(DE$3:DE$105="L"))+SUMPRODUCT((DA$3:DA$105=BJ35)*(DD$3:DD$105=BJ34)*(DF$3:DF$105="L"))+SUMPRODUCT((DA$3:DA$105=BJ36)*(DD$3:DD$105=BJ34)*(DF$3:DF$105="L"))+SUMPRODUCT((DA$3:DA$105=BJ33)*(DD$3:DD$105=BJ34)*(DF$3:DF$105="L"))</f>
        <v>0</v>
      </c>
      <c r="BN34" s="231">
        <f>SUMPRODUCT((DA$3:DA$105=BJ34)*(DD$3:DD$105=BJ35)*DB$3:DB$105)+SUMPRODUCT((DA$3:DA$105=BJ34)*(DD$3:DD$105=BJ31)*DB$3:DB$105)+SUMPRODUCT((DA$3:DA$105=BJ34)*(DD$3:DD$105=BJ32)*DB$3:DB$105)+SUMPRODUCT((DA$3:DA$105=BJ34)*(DD$3:DD$105=BJ33)*DB$3:DB$105)+SUMPRODUCT((DA$3:DA$105=BJ35)*(DD$3:DD$105=BJ34)*DC$3:DC$105)+SUMPRODUCT((DA$3:DA$105=BJ31)*(DD$3:DD$105=BJ34)*DC$3:DC$105)+SUMPRODUCT((DA$3:DA$105=BJ32)*(DD$3:DD$105=BJ34)*DC$3:DC$105)+SUMPRODUCT((DA$3:DA$105=BJ33)*(DD$3:DD$105=BJ34)*DC$3:DC$105)</f>
        <v>0</v>
      </c>
      <c r="BO34" s="231">
        <f>SUMPRODUCT((DA$3:DA$105=BJ34)*(DD$3:DD$105=BJ35)*DC$3:DC$105)+SUMPRODUCT((DA$3:DA$105=BJ34)*(DD$3:DD$105=BJ31)*DC$3:DC$105)+SUMPRODUCT((DA$3:DA$105=BJ34)*(DD$3:DD$105=BJ32)*DC$3:DC$105)+SUMPRODUCT((DA$3:DA$105=BJ34)*(DD$3:DD$105=BJ33)*DC$3:DC$105)+SUMPRODUCT((DA$3:DA$105=BJ35)*(DD$3:DD$105=BJ34)*DB$3:DB$105)+SUMPRODUCT((DA$3:DA$105=BJ31)*(DD$3:DD$105=BJ34)*DB$3:DB$105)+SUMPRODUCT((DA$3:DA$105=BJ32)*(DD$3:DD$105=BJ34)*DB$3:DB$105)+SUMPRODUCT((DA$3:DA$105=BJ33)*(DD$3:DD$105=BJ34)*DB$3:DB$105)</f>
        <v>0</v>
      </c>
      <c r="BP34" s="231">
        <f>BN34-BO34+1000</f>
        <v>1000</v>
      </c>
      <c r="BQ34" s="231" t="str">
        <f t="shared" si="61"/>
        <v/>
      </c>
      <c r="BR34" s="231" t="str">
        <f>IF(BJ34&lt;&gt;"",VLOOKUP(BJ34,C$4:I$52,7,FALSE),"")</f>
        <v/>
      </c>
      <c r="BS34" s="231" t="str">
        <f>IF(BJ34&lt;&gt;"",VLOOKUP(BJ34,C$4:I$52,5,FALSE),"")</f>
        <v/>
      </c>
      <c r="BT34" s="231" t="str">
        <f>IF(BJ34&lt;&gt;"",VLOOKUP(BJ34,C$4:K$52,9,FALSE),"")</f>
        <v/>
      </c>
      <c r="BU34" s="231" t="str">
        <f t="shared" si="62"/>
        <v/>
      </c>
      <c r="BV34" s="231" t="str">
        <f>IF(BJ34&lt;&gt;"",RANK(BU34,BU32:BU35),"")</f>
        <v/>
      </c>
      <c r="BW34" s="231" t="str">
        <f>IF(BJ34&lt;&gt;"",SUMPRODUCT((BU31:BU35=BU34)*(BP31:BP35&gt;BP34)),"")</f>
        <v/>
      </c>
      <c r="BX34" s="231" t="str">
        <f>IF(BJ34&lt;&gt;"",SUMPRODUCT((BU31:BU35=BU34)*(BP31:BP35=BP34)*(BN31:BN35&gt;BN34)),"")</f>
        <v/>
      </c>
      <c r="BY34" s="231" t="str">
        <f>IF(BJ34&lt;&gt;"",SUMPRODUCT((BU31:BU35=BU34)*(BP31:BP35=BP34)*(BN31:BN35=BN34)*(BR31:BR35&gt;BR34)),"")</f>
        <v/>
      </c>
      <c r="BZ34" s="231" t="str">
        <f>IF(BJ34&lt;&gt;"",SUMPRODUCT((BU31:BU35=BU34)*(BP31:BP35=BP34)*(BN31:BN35=BN34)*(BR31:BR35=BR34)*(BS31:BS35&gt;BS34)),"")</f>
        <v/>
      </c>
      <c r="CA34" s="231" t="str">
        <f>IF(BJ34&lt;&gt;"",SUMPRODUCT((BU31:BU35=BU34)*(BP31:BP35=BP34)*(BN31:BN35=BN34)*(BR31:BR35=BR34)*(BS31:BS35=BS34)*(BT31:BT35&gt;BT34)),"")</f>
        <v/>
      </c>
      <c r="CB34" s="231" t="str">
        <f>IF(BJ34&lt;&gt;"",SUM(BV34:CA34)+2,"")</f>
        <v/>
      </c>
      <c r="CC34" s="231" t="str">
        <f>IF(BJ34&lt;&gt;"",INDEX(BJ33:BJ35,MATCH(4,CB33:CB35,0),0),"")</f>
        <v/>
      </c>
      <c r="CD34" s="231" t="str">
        <f>IF(T31&lt;&gt;"",T31,"")</f>
        <v/>
      </c>
      <c r="CE34" s="231">
        <f>SUMPRODUCT((DA$3:DA$105=V34)*(DD$3:DD$105=V35)*(DE$3:DE$105="W"))+SUMPRODUCT((DA$3:DA$105=V34)*(DD$3:DD$105=V31)*(DE$3:DE$105="W"))+SUMPRODUCT((DA$3:DA$105=V34)*(DD$3:DD$105=V32)*(DE$3:DE$105="W"))+SUMPRODUCT((DA$3:DA$105=V34)*(DD$3:DD$105=V33)*(DE$3:DE$105="W"))+SUMPRODUCT((DA$3:DA$105=V35)*(DD$3:DD$105=V34)*(DF$3:DF$105="W"))+SUMPRODUCT((DA$3:DA$105=V31)*(DD$3:DD$105=V34)*(DF$3:DF$105="W"))+SUMPRODUCT((DA$3:DA$105=V32)*(DD$3:DD$105=V34)*(DF$3:DF$105="W"))+SUMPRODUCT((DA$3:DA$105=V33)*(DD$3:DD$105=V34)*(DF$3:DF$105="W"))</f>
        <v>0</v>
      </c>
      <c r="CF34" s="231">
        <f>SUMPRODUCT((DA$3:DA$105=V34)*(DD$3:DD$105=V35)*(DE$3:DE$105="D"))+SUMPRODUCT((DA$3:DA$105=V34)*(DD$3:DD$105=V31)*(DE$3:DE$105="D"))+SUMPRODUCT((DA$3:DA$105=V34)*(DD$3:DD$105=V32)*(DE$3:DE$105="D"))+SUMPRODUCT((DA$3:DA$105=V34)*(DD$3:DD$105=V33)*(DE$3:DE$105="D"))+SUMPRODUCT((DA$3:DA$105=V35)*(DD$3:DD$105=V34)*(DE$3:DE$105="D"))+SUMPRODUCT((DA$3:DA$105=V31)*(DD$3:DD$105=V34)*(DE$3:DE$105="D"))+SUMPRODUCT((DA$3:DA$105=V32)*(DD$3:DD$105=V34)*(DE$3:DE$105="D"))+SUMPRODUCT((DA$3:DA$105=V33)*(DD$3:DD$105=V34)*(DE$3:DE$105="D"))</f>
        <v>0</v>
      </c>
      <c r="CG34" s="231">
        <f>SUMPRODUCT((DA$3:DA$105=V34)*(DD$3:DD$105=V35)*(DE$3:DE$105="L"))+SUMPRODUCT((DA$3:DA$105=V34)*(DD$3:DD$105=V31)*(DE$3:DE$105="L"))+SUMPRODUCT((DA$3:DA$105=V34)*(DD$3:DD$105=V32)*(DE$3:DE$105="L"))+SUMPRODUCT((DA$3:DA$105=V34)*(DD$3:DD$105=V33)*(DE$3:DE$105="L"))+SUMPRODUCT((DA$3:DA$105=V35)*(DD$3:DD$105=V34)*(DF$3:DF$105="L"))+SUMPRODUCT((DA$3:DA$105=V31)*(DD$3:DD$105=V34)*(DF$3:DF$105="L"))+SUMPRODUCT((DA$3:DA$105=V32)*(DD$3:DD$105=V34)*(DF$3:DF$105="L"))+SUMPRODUCT((DA$3:DA$105=V33)*(DD$3:DD$105=V34)*(DF$3:DF$105="L"))</f>
        <v>0</v>
      </c>
      <c r="CH34" s="231">
        <f>SUMPRODUCT((DA$3:DA$105=CD34)*(DD$3:DD$105=CD35)*DB$3:DB$105)+SUMPRODUCT((DA$3:DA$105=CD34)*(DD$3:DD$105=CD31)*DB$3:DB$105)+SUMPRODUCT((DA$3:DA$105=CD34)*(DD$3:DD$105=CD32)*DB$3:DB$105)+SUMPRODUCT((DA$3:DA$105=CD34)*(DD$3:DD$105=CD33)*DB$3:DB$105)+SUMPRODUCT((DA$3:DA$105=CD35)*(DD$3:DD$105=CD34)*DC$3:DC$105)+SUMPRODUCT((DA$3:DA$105=CD31)*(DD$3:DD$105=CD34)*DC$3:DC$105)+SUMPRODUCT((DA$3:DA$105=CD32)*(DD$3:DD$105=CD34)*DC$3:DC$105)+SUMPRODUCT((DA$3:DA$105=CD33)*(DD$3:DD$105=CD34)*DC$3:DC$105)</f>
        <v>0</v>
      </c>
      <c r="CI34" s="231">
        <f>SUMPRODUCT((DA$3:DA$105=CD34)*(DD$3:DD$105=CD35)*DC$3:DC$105)+SUMPRODUCT((DA$3:DA$105=CD34)*(DD$3:DD$105=CD31)*DC$3:DC$105)+SUMPRODUCT((DA$3:DA$105=CD34)*(DD$3:DD$105=CD32)*DC$3:DC$105)+SUMPRODUCT((DA$3:DA$105=CD34)*(DD$3:DD$105=CD33)*DC$3:DC$105)+SUMPRODUCT((DA$3:DA$105=CD35)*(DD$3:DD$105=CD34)*DB$3:DB$105)+SUMPRODUCT((DA$3:DA$105=CD31)*(DD$3:DD$105=CD34)*DB$3:DB$105)+SUMPRODUCT((DA$3:DA$105=CD32)*(DD$3:DD$105=CD34)*DB$3:DB$105)+SUMPRODUCT((DA$3:DA$105=CD33)*(DD$3:DD$105=CD34)*DB$3:DB$105)</f>
        <v>0</v>
      </c>
      <c r="CJ34" s="231">
        <f>CH34-CI34+1000</f>
        <v>1000</v>
      </c>
      <c r="CK34" s="231" t="str">
        <f t="shared" ref="CK34" si="63">IF(CD34&lt;&gt;"",CE34*3+CF34*1,"")</f>
        <v/>
      </c>
      <c r="CL34" s="231" t="str">
        <f>IF(CD34&lt;&gt;"",VLOOKUP(CD34,C$4:I$52,7,FALSE),"")</f>
        <v/>
      </c>
      <c r="CM34" s="231" t="str">
        <f>IF(CD34&lt;&gt;"",VLOOKUP(CD34,C$4:I$52,5,FALSE),"")</f>
        <v/>
      </c>
      <c r="CN34" s="231" t="str">
        <f>IF(CD34&lt;&gt;"",VLOOKUP(CD34,C$4:K$52,9,FALSE),"")</f>
        <v/>
      </c>
      <c r="CO34" s="231" t="str">
        <f t="shared" ref="CO34" si="64">CK34</f>
        <v/>
      </c>
      <c r="CP34" s="231" t="str">
        <f>IF(CD34&lt;&gt;"",RANK(CO34,AG31:AG35),"")</f>
        <v/>
      </c>
      <c r="CQ34" s="231" t="str">
        <f>IF(CD34&lt;&gt;"",SUMPRODUCT((CO31:CO35=CO34)*(CJ31:CJ35&gt;CJ34)),"")</f>
        <v/>
      </c>
      <c r="CR34" s="231" t="str">
        <f>IF(CD34&lt;&gt;"",SUMPRODUCT((CO31:CO35=CO34)*(CJ31:CJ35=CJ34)*(CH31:CH35&gt;CH34)),"")</f>
        <v/>
      </c>
      <c r="CS34" s="231" t="str">
        <f>IF(CD34&lt;&gt;"",SUMPRODUCT((CO31:CO35=CO34)*(CJ31:CJ35=CJ34)*(CH31:CH35=CH34)*(CL31:CL35&gt;CL34)),"")</f>
        <v/>
      </c>
      <c r="CT34" s="231" t="str">
        <f>IF(CD34&lt;&gt;"",SUMPRODUCT((CO31:CO35=CO34)*(CJ31:CJ35=CJ34)*(CH31:CH35=CH34)*(CL31:CL35=CL34)*(CM31:CM35&gt;CM34)),"")</f>
        <v/>
      </c>
      <c r="CU34" s="231" t="str">
        <f>IF(CD34&lt;&gt;"",SUMPRODUCT((CO31:CO35=CO34)*(CJ31:CJ35=CJ34)*(CH31:CH35=CH34)*(CL31:CL35=CL34)*(CM31:CM35=CM34)*(CN31:CN35&gt;CN34)),"")</f>
        <v/>
      </c>
      <c r="CV34" s="231" t="str">
        <f>IF(CD34&lt;&gt;"",SUM(CP34:CU34)+3,"")</f>
        <v/>
      </c>
      <c r="CW34" s="231" t="str">
        <f>IF(CD34&lt;&gt;"",INDEX(V31:V35,MATCH(1,AN31:AN35,0),0),"")</f>
        <v/>
      </c>
      <c r="CX34" s="231" t="str">
        <f>IF(CW34&lt;&gt;"",CW34,IF(CC34&lt;&gt;"",CC34,IF(BI34&lt;&gt;"",BI34,IF(AO34&lt;&gt;"",AO34,O34))))</f>
        <v>Curacao</v>
      </c>
      <c r="CY34" s="231">
        <v>4</v>
      </c>
      <c r="CZ34" s="231">
        <v>32</v>
      </c>
      <c r="DA34" s="234" t="str">
        <f>Matches!H35</f>
        <v>USA</v>
      </c>
      <c r="DB34" s="234">
        <f>IF($DA$2&lt;&gt;"",IF(AND(Matches!J35&lt;&gt;"",Matches!K35&lt;&gt;""),Matches!J35,0),"")</f>
        <v>0</v>
      </c>
      <c r="DC34" s="234">
        <f>IF($DA$2&lt;&gt;"",IF(AND(Matches!J35&lt;&gt;"",Matches!K35&lt;&gt;""),Matches!K35,0),"")</f>
        <v>0</v>
      </c>
      <c r="DD34" s="234" t="str">
        <f>Matches!M35</f>
        <v>Australia</v>
      </c>
      <c r="DE34" s="234" t="str">
        <f>IF(AND(Matches!J35&lt;&gt;"",Matches!K35&lt;&gt;""),IF(DB34&gt;DC34,"W",IF(DB34=DC34,"D","L")),"")</f>
        <v/>
      </c>
      <c r="DF34" s="231" t="str">
        <f t="shared" si="0"/>
        <v/>
      </c>
      <c r="DQ34" s="238"/>
      <c r="DR34" s="239"/>
      <c r="DS34" s="240" t="str">
        <f t="shared" si="16"/>
        <v>New Zealand</v>
      </c>
      <c r="DT34" s="241" t="s">
        <v>661</v>
      </c>
      <c r="DU34" s="240"/>
      <c r="DV34" s="233">
        <v>28</v>
      </c>
      <c r="DW34" s="242" t="s">
        <v>86</v>
      </c>
      <c r="DX34" s="230"/>
      <c r="DY34" s="243">
        <v>28</v>
      </c>
      <c r="DZ34" s="244">
        <f t="shared" si="14"/>
        <v>46191.875</v>
      </c>
      <c r="EA34" s="245">
        <v>46191.875</v>
      </c>
      <c r="EB34" s="246">
        <f t="shared" si="15"/>
        <v>46191.875</v>
      </c>
      <c r="EC34" s="245"/>
      <c r="EE34" s="233" t="str">
        <f>INDEX(Language!$A$1:$K$177,MATCH(Setup!B35,Language!$B$1:$B$177,0),MATCH(Setup!$C$5,Language!$A$1:$J$1,0))</f>
        <v>New Zealand</v>
      </c>
    </row>
    <row r="35" spans="1:135" ht="13.5" customHeight="1" x14ac:dyDescent="0.25">
      <c r="CZ35" s="231">
        <v>33</v>
      </c>
      <c r="DA35" s="234" t="str">
        <f>Matches!H36</f>
        <v>Germany</v>
      </c>
      <c r="DB35" s="234">
        <f>IF($DA$2&lt;&gt;"",IF(AND(Matches!J36&lt;&gt;"",Matches!K36&lt;&gt;""),Matches!J36,0),"")</f>
        <v>0</v>
      </c>
      <c r="DC35" s="234">
        <f>IF($DA$2&lt;&gt;"",IF(AND(Matches!J36&lt;&gt;"",Matches!K36&lt;&gt;""),Matches!K36,0),"")</f>
        <v>0</v>
      </c>
      <c r="DD35" s="234" t="str">
        <f>Matches!M36</f>
        <v>Cote D'Voire</v>
      </c>
      <c r="DE35" s="234" t="str">
        <f>IF(AND(Matches!J36&lt;&gt;"",Matches!K36&lt;&gt;""),IF(DB35&gt;DC35,"W",IF(DB35=DC35,"D","L")),"")</f>
        <v/>
      </c>
      <c r="DF35" s="231" t="str">
        <f t="shared" si="0"/>
        <v/>
      </c>
      <c r="DQ35" s="238" t="s">
        <v>78</v>
      </c>
      <c r="DR35" s="239"/>
      <c r="DS35" s="240" t="str">
        <f t="shared" si="16"/>
        <v>Spain</v>
      </c>
      <c r="DT35" s="241" t="s">
        <v>662</v>
      </c>
      <c r="DU35" s="240"/>
      <c r="DV35" s="233">
        <v>29</v>
      </c>
      <c r="DW35" s="242" t="s">
        <v>87</v>
      </c>
      <c r="DX35" s="230"/>
      <c r="DY35" s="243">
        <v>29</v>
      </c>
      <c r="DZ35" s="244">
        <f t="shared" si="14"/>
        <v>46192.854166666664</v>
      </c>
      <c r="EA35" s="245">
        <v>46192.854166666664</v>
      </c>
      <c r="EB35" s="246">
        <f t="shared" si="15"/>
        <v>46192.854166666664</v>
      </c>
      <c r="EC35" s="245"/>
      <c r="EE35" s="233" t="str">
        <f>INDEX(Language!$A$1:$K$177,MATCH(Setup!B36,Language!$B$1:$B$177,0),MATCH(Setup!$C$5,Language!$A$1:$J$1,0))</f>
        <v>Spain</v>
      </c>
    </row>
    <row r="36" spans="1:135" ht="13.5" customHeight="1" x14ac:dyDescent="0.25">
      <c r="CZ36" s="231">
        <v>34</v>
      </c>
      <c r="DA36" s="234" t="str">
        <f>Matches!H37</f>
        <v>Ecuador</v>
      </c>
      <c r="DB36" s="234">
        <f>IF($DA$2&lt;&gt;"",IF(AND(Matches!J37&lt;&gt;"",Matches!K37&lt;&gt;""),Matches!J37,0),"")</f>
        <v>0</v>
      </c>
      <c r="DC36" s="234">
        <f>IF($DA$2&lt;&gt;"",IF(AND(Matches!J37&lt;&gt;"",Matches!K37&lt;&gt;""),Matches!K37,0),"")</f>
        <v>0</v>
      </c>
      <c r="DD36" s="234" t="str">
        <f>Matches!M37</f>
        <v>Curacao</v>
      </c>
      <c r="DE36" s="234" t="str">
        <f>IF(AND(Matches!J37&lt;&gt;"",Matches!K37&lt;&gt;""),IF(DB36&gt;DC36,"W",IF(DB36=DC36,"D","L")),"")</f>
        <v/>
      </c>
      <c r="DF36" s="231" t="str">
        <f t="shared" si="0"/>
        <v/>
      </c>
      <c r="DQ36" s="238"/>
      <c r="DR36" s="239"/>
      <c r="DS36" s="240" t="str">
        <f t="shared" si="16"/>
        <v>Cabo Verde</v>
      </c>
      <c r="DT36" s="241" t="s">
        <v>663</v>
      </c>
      <c r="DU36" s="240"/>
      <c r="DV36" s="233">
        <v>30</v>
      </c>
      <c r="DW36" s="242" t="s">
        <v>88</v>
      </c>
      <c r="DX36" s="230"/>
      <c r="DY36" s="243">
        <v>30</v>
      </c>
      <c r="DZ36" s="244">
        <f t="shared" si="14"/>
        <v>46192.75</v>
      </c>
      <c r="EA36" s="245">
        <v>46192.75</v>
      </c>
      <c r="EB36" s="246">
        <f t="shared" si="15"/>
        <v>46192.75</v>
      </c>
      <c r="EC36" s="245"/>
      <c r="EE36" s="233" t="str">
        <f>INDEX(Language!$A$1:$K$177,MATCH(Setup!B37,Language!$B$1:$B$177,0),MATCH(Setup!$C$5,Language!$A$1:$J$1,0))</f>
        <v>Cabo Verde</v>
      </c>
    </row>
    <row r="37" spans="1:135" ht="13.5" customHeight="1" x14ac:dyDescent="0.25">
      <c r="A37" s="230">
        <f>Setup!F28+100</f>
        <v>107</v>
      </c>
      <c r="B37" s="231">
        <f>VLOOKUP(C37,CX$37:CY$41,2,FALSE)</f>
        <v>1</v>
      </c>
      <c r="C37" s="232" t="str">
        <f>EE27</f>
        <v>Netherlands</v>
      </c>
      <c r="D37" s="231">
        <f>SUMPRODUCT((DA$3:DA$105=C37)*(DE$3:DE$105="W"))+SUMPRODUCT((DD$3:DD$105=C37)*(DF$3:DF$105="W"))</f>
        <v>0</v>
      </c>
      <c r="E37" s="231">
        <f>SUMPRODUCT((DA$3:DA$105=C37)*(DE$3:DE$105="D"))+SUMPRODUCT((DD$3:DD$105=C37)*(DF$3:DF$105="D"))</f>
        <v>0</v>
      </c>
      <c r="F37" s="231">
        <f>SUMPRODUCT((DA$3:DA$105=C37)*(DE$3:DE$105="L"))+SUMPRODUCT((DD$3:DD$105=C37)*(DF$3:DF$105="L"))</f>
        <v>0</v>
      </c>
      <c r="G37" s="231">
        <f>SUMIF(DA$3:DA$123,C37,DB$3:DB$123)+SUMIF(DD$3:DD$123,C37,DC$3:DC$123)</f>
        <v>0</v>
      </c>
      <c r="H37" s="231">
        <f>SUMIF(DD$3:DD$123,C37,DB$3:DB$123)+SUMIF(DA$3:DA$123,C37,DC$3:DC$123)</f>
        <v>0</v>
      </c>
      <c r="I37" s="231">
        <f t="shared" ref="I37:I40" si="65">G37-H37+1000</f>
        <v>1000</v>
      </c>
      <c r="J37" s="231">
        <f t="shared" ref="J37:J40" si="66">D37*3+E37*1</f>
        <v>0</v>
      </c>
      <c r="K37" s="231">
        <f>IF(Setup!G28&lt;&gt;"",Setup!G28,-A37)</f>
        <v>-107</v>
      </c>
      <c r="L37" s="231">
        <f>IF(COUNTIF(J$37:J$41,4)&lt;&gt;4,RANK(J37,J$37:J$41),J116)</f>
        <v>1</v>
      </c>
      <c r="N37" s="231">
        <f>SUMPRODUCT((L37:L40=L37)*(K37:K40&lt;K37))+L37</f>
        <v>4</v>
      </c>
      <c r="O37" s="232" t="str">
        <f>INDEX(C37:C41,MATCH(1,N37:N41,0),0)</f>
        <v>Tunisia</v>
      </c>
      <c r="P37" s="231">
        <f>INDEX(L37:L41,MATCH(O37,C37:C41,0),0)</f>
        <v>1</v>
      </c>
      <c r="Q37" s="231" t="str">
        <f>IF(P38=1,O37,"")</f>
        <v>Tunisia</v>
      </c>
      <c r="R37" s="231" t="str">
        <f>IF(P39=2,O38,"")</f>
        <v/>
      </c>
      <c r="S37" s="231" t="str">
        <f>IF(P40=3,O39,"")</f>
        <v/>
      </c>
      <c r="T37" s="231" t="str">
        <f>IF(P41=4,O40,"")</f>
        <v/>
      </c>
      <c r="V37" s="231" t="str">
        <f>IF(Q37&lt;&gt;"",Q37,"")</f>
        <v>Tunisia</v>
      </c>
      <c r="W37" s="231">
        <f>SUMPRODUCT((DA$3:DA$105=V37)*(DD$3:DD$105=V38)*(DE$3:DE$105="W"))+SUMPRODUCT((DA$3:DA$105=V37)*(DD$3:DD$105=V39)*(DE$3:DE$105="W"))+SUMPRODUCT((DA$3:DA$105=V37)*(DD$3:DD$105=V40)*(DE$3:DE$105="W"))+SUMPRODUCT((DA$3:DA$105=V37)*(DD$3:DD$105=V41)*(DE$3:DE$105="W"))+SUMPRODUCT((DA$3:DA$105=V38)*(DD$3:DD$105=V37)*(DF$3:DF$105="W"))+SUMPRODUCT((DA$3:DA$105=V39)*(DD$3:DD$105=V37)*(DF$3:DF$105="W"))+SUMPRODUCT((DA$3:DA$105=V40)*(DD$3:DD$105=V37)*(DF$3:DF$105="W"))+SUMPRODUCT((DA$3:DA$105=V41)*(DD$3:DD$105=V37)*(DF$3:DF$105="W"))</f>
        <v>0</v>
      </c>
      <c r="X37" s="231">
        <f>SUMPRODUCT((DA$3:DA$105=V37)*(DD$3:DD$105=V38)*(DE$3:DE$105="D"))+SUMPRODUCT((DA$3:DA$105=V37)*(DD$3:DD$105=V39)*(DE$3:DE$105="D"))+SUMPRODUCT((DA$3:DA$105=V37)*(DD$3:DD$105=V40)*(DE$3:DE$105="D"))+SUMPRODUCT((DA$3:DA$105=V37)*(DD$3:DD$105=V41)*(DE$3:DE$105="D"))+SUMPRODUCT((DA$3:DA$105=V38)*(DD$3:DD$105=V37)*(DE$3:DE$105="D"))+SUMPRODUCT((DA$3:DA$105=V39)*(DD$3:DD$105=V37)*(DE$3:DE$105="D"))+SUMPRODUCT((DA$3:DA$105=V40)*(DD$3:DD$105=V37)*(DE$3:DE$105="D"))+SUMPRODUCT((DA$3:DA$105=V41)*(DD$3:DD$105=V37)*(DE$3:DE$105="D"))</f>
        <v>0</v>
      </c>
      <c r="Y37" s="231">
        <f>SUMPRODUCT((DA$3:DA$105=V37)*(DD$3:DD$105=V38)*(DE$3:DE$105="L"))+SUMPRODUCT((DA$3:DA$105=V37)*(DD$3:DD$105=V39)*(DE$3:DE$105="L"))+SUMPRODUCT((DA$3:DA$105=V37)*(DD$3:DD$105=V40)*(DE$3:DE$105="L"))+SUMPRODUCT((DA$3:DA$105=V37)*(DD$3:DD$105=V41)*(DE$3:DE$105="L"))+SUMPRODUCT((DA$3:DA$105=V38)*(DD$3:DD$105=V37)*(DF$3:DF$105="L"))+SUMPRODUCT((DA$3:DA$105=V39)*(DD$3:DD$105=V37)*(DF$3:DF$105="L"))+SUMPRODUCT((DA$3:DA$105=V40)*(DD$3:DD$105=V37)*(DF$3:DF$105="L"))+SUMPRODUCT((DA$3:DA$105=V41)*(DD$3:DD$105=V37)*(DF$3:DF$105="L"))</f>
        <v>0</v>
      </c>
      <c r="Z37" s="231">
        <f>SUMPRODUCT((DA$3:DA$105=V37)*(DD$3:DD$105=V38)*DB$3:DB$105)+SUMPRODUCT((DA$3:DA$105=V37)*(DD$3:DD$105=V39)*DB$3:DB$105)+SUMPRODUCT((DA$3:DA$105=V37)*(DD$3:DD$105=V40)*DB$3:DB$105)+SUMPRODUCT((DA$3:DA$105=V37)*(DD$3:DD$105=V41)*DB$3:DB$105)+SUMPRODUCT((DA$3:DA$105=V38)*(DD$3:DD$105=V37)*DC$3:DC$105)+SUMPRODUCT((DA$3:DA$105=V39)*(DD$3:DD$105=V37)*DC$3:DC$105)+SUMPRODUCT((DA$3:DA$105=V40)*(DD$3:DD$105=V37)*DC$3:DC$105)+SUMPRODUCT((DA$3:DA$105=V41)*(DD$3:DD$105=V37)*DC$3:DC$105)</f>
        <v>0</v>
      </c>
      <c r="AA37" s="231">
        <f>SUMPRODUCT((DA$3:DA$105=V37)*(DD$3:DD$105=V38)*DC$3:DC$105)+SUMPRODUCT((DA$3:DA$105=V37)*(DD$3:DD$105=V39)*DC$3:DC$105)+SUMPRODUCT((DA$3:DA$105=V37)*(DD$3:DD$105=V40)*DC$3:DC$105)+SUMPRODUCT((DA$3:DA$105=V37)*(DD$3:DD$105=V41)*DC$3:DC$105)+SUMPRODUCT((DA$3:DA$105=V38)*(DD$3:DD$105=V37)*DB$3:DB$105)+SUMPRODUCT((DA$3:DA$105=V39)*(DD$3:DD$105=V37)*DB$3:DB$105)+SUMPRODUCT((DA$3:DA$105=V40)*(DD$3:DD$105=V37)*DB$3:DB$105)+SUMPRODUCT((DA$3:DA$105=V41)*(DD$3:DD$105=V37)*DB$3:DB$105)</f>
        <v>0</v>
      </c>
      <c r="AB37" s="231">
        <f>Z37-AA37+1000</f>
        <v>1000</v>
      </c>
      <c r="AC37" s="231">
        <f t="shared" ref="AC37:AC40" si="67">IF(V37&lt;&gt;"",W37*3+X37*1,"")</f>
        <v>0</v>
      </c>
      <c r="AD37" s="231">
        <f>IF(V37&lt;&gt;"",VLOOKUP(V37,C$4:I$52,7,FALSE),"")</f>
        <v>1000</v>
      </c>
      <c r="AE37" s="231">
        <f>IF(V37&lt;&gt;"",VLOOKUP(V37,C$4:I$52,5,FALSE),"")</f>
        <v>0</v>
      </c>
      <c r="AF37" s="231">
        <f>IF(V37&lt;&gt;"",VLOOKUP(V37,C$4:K$52,9,FALSE),"")</f>
        <v>-147</v>
      </c>
      <c r="AG37" s="231">
        <f t="shared" ref="AG37:AG40" si="68">AC37</f>
        <v>0</v>
      </c>
      <c r="AH37" s="231">
        <f>IF(V37&lt;&gt;"",RANK(AG37,AG37:AG41),"")</f>
        <v>1</v>
      </c>
      <c r="AI37" s="231">
        <f>IF(V37&lt;&gt;"",SUMPRODUCT((AG37:AG41=AG37)*(AB37:AB41&gt;AB37)),"")</f>
        <v>0</v>
      </c>
      <c r="AJ37" s="231">
        <f>IF(V37&lt;&gt;"",SUMPRODUCT((AG37:AG41=AG37)*(AB37:AB41=AB37)*(Z37:Z41&gt;Z37)),"")</f>
        <v>0</v>
      </c>
      <c r="AK37" s="231">
        <f>IF(V37&lt;&gt;"",SUMPRODUCT((AG37:AG41=AG37)*(AB37:AB41=AB37)*(Z37:Z41=Z37)*(AD37:AD41&gt;AD37)),"")</f>
        <v>0</v>
      </c>
      <c r="AL37" s="231">
        <f>IF(V37&lt;&gt;"",SUMPRODUCT((AG37:AG41=AG37)*(AB37:AB41=AB37)*(Z37:Z41=Z37)*(AD37:AD41=AD37)*(AE37:AE41&gt;AE37)),"")</f>
        <v>0</v>
      </c>
      <c r="AM37" s="231">
        <f>IF(V37&lt;&gt;"",SUMPRODUCT((AG37:AG41=AG37)*(AB37:AB41=AB37)*(Z37:Z41=Z37)*(AD37:AD41=AD37)*(AE37:AE41=AE37)*(AF37:AF41&gt;AF37)),"")</f>
        <v>3</v>
      </c>
      <c r="AN37" s="231">
        <f>IF(V37&lt;&gt;"",IF(AN116&lt;&gt;"",IF(U115=3,AN116,AN116+U115),SUM(AH37:AM37)),"")</f>
        <v>4</v>
      </c>
      <c r="AO37" s="231" t="str">
        <f>IF(V37&lt;&gt;"",INDEX(V37:V41,MATCH(1,AN37:AN41,0),0),"")</f>
        <v>Netherlands</v>
      </c>
      <c r="CX37" s="231" t="str">
        <f>IF(AO37&lt;&gt;"",AO37,O37)</f>
        <v>Netherlands</v>
      </c>
      <c r="CY37" s="231">
        <v>1</v>
      </c>
      <c r="CZ37" s="231">
        <v>35</v>
      </c>
      <c r="DA37" s="234" t="str">
        <f>Matches!H38</f>
        <v>Netherlands</v>
      </c>
      <c r="DB37" s="234">
        <f>IF($DA$2&lt;&gt;"",IF(AND(Matches!J38&lt;&gt;"",Matches!K38&lt;&gt;""),Matches!J38,0),"")</f>
        <v>0</v>
      </c>
      <c r="DC37" s="234">
        <f>IF($DA$2&lt;&gt;"",IF(AND(Matches!J38&lt;&gt;"",Matches!K38&lt;&gt;""),Matches!K38,0),"")</f>
        <v>0</v>
      </c>
      <c r="DD37" s="234" t="str">
        <f>Matches!M38</f>
        <v>Sweden</v>
      </c>
      <c r="DE37" s="234" t="str">
        <f>IF(AND(Matches!J38&lt;&gt;"",Matches!K38&lt;&gt;""),IF(DB37&gt;DC37,"W",IF(DB37=DC37,"D","L")),"")</f>
        <v/>
      </c>
      <c r="DF37" s="231" t="str">
        <f t="shared" si="0"/>
        <v/>
      </c>
      <c r="DQ37" s="238"/>
      <c r="DR37" s="239"/>
      <c r="DS37" s="240" t="str">
        <f t="shared" si="16"/>
        <v>Saudi Arabia</v>
      </c>
      <c r="DT37" s="241" t="s">
        <v>664</v>
      </c>
      <c r="DU37" s="240"/>
      <c r="DV37" s="233">
        <v>31</v>
      </c>
      <c r="DW37" s="242" t="s">
        <v>89</v>
      </c>
      <c r="DX37" s="230"/>
      <c r="DY37" s="243">
        <v>31</v>
      </c>
      <c r="DZ37" s="244">
        <f t="shared" si="14"/>
        <v>46192.958333333336</v>
      </c>
      <c r="EA37" s="245">
        <v>46192.958333333336</v>
      </c>
      <c r="EB37" s="246">
        <f t="shared" si="15"/>
        <v>46192.958333333336</v>
      </c>
      <c r="EC37" s="245"/>
      <c r="ED37" s="233">
        <f>SUM(Matches!S35:S38)</f>
        <v>10</v>
      </c>
      <c r="EE37" s="233" t="str">
        <f>INDEX(Language!$A$1:$K$177,MATCH(Setup!B38,Language!$B$1:$B$177,0),MATCH(Setup!$C$5,Language!$A$1:$J$1,0))</f>
        <v>Saudi Arabia</v>
      </c>
    </row>
    <row r="38" spans="1:135" ht="13.5" customHeight="1" x14ac:dyDescent="0.25">
      <c r="A38" s="230">
        <f>Setup!F29+100</f>
        <v>119</v>
      </c>
      <c r="B38" s="231">
        <f>VLOOKUP(C38,CX$37:CY$41,2,FALSE)</f>
        <v>2</v>
      </c>
      <c r="C38" s="232" t="str">
        <f t="shared" ref="C38:C40" si="69">EE28</f>
        <v>Japan</v>
      </c>
      <c r="D38" s="231">
        <f>SUMPRODUCT((DA$3:DA$105=C38)*(DE$3:DE$105="W"))+SUMPRODUCT((DD$3:DD$105=C38)*(DF$3:DF$105="W"))</f>
        <v>0</v>
      </c>
      <c r="E38" s="231">
        <f>SUMPRODUCT((DA$3:DA$105=C38)*(DE$3:DE$105="D"))+SUMPRODUCT((DD$3:DD$105=C38)*(DF$3:DF$105="D"))</f>
        <v>0</v>
      </c>
      <c r="F38" s="231">
        <f>SUMPRODUCT((DA$3:DA$105=C38)*(DE$3:DE$105="L"))+SUMPRODUCT((DD$3:DD$105=C38)*(DF$3:DF$105="L"))</f>
        <v>0</v>
      </c>
      <c r="G38" s="231">
        <f>SUMIF(DA$3:DA$123,C38,DB$3:DB$123)+SUMIF(DD$3:DD$123,C38,DC$3:DC$123)</f>
        <v>0</v>
      </c>
      <c r="H38" s="231">
        <f>SUMIF(DD$3:DD$123,C38,DB$3:DB$123)+SUMIF(DA$3:DA$123,C38,DC$3:DC$123)</f>
        <v>0</v>
      </c>
      <c r="I38" s="231">
        <f t="shared" si="65"/>
        <v>1000</v>
      </c>
      <c r="J38" s="231">
        <f t="shared" si="66"/>
        <v>0</v>
      </c>
      <c r="K38" s="231">
        <f>IF(Setup!G29&lt;&gt;"",Setup!G29,-A38)</f>
        <v>-119</v>
      </c>
      <c r="L38" s="231">
        <f>IF(COUNTIF(J$37:J$41,4)&lt;&gt;4,RANK(J38,J$37:J$41),J117)</f>
        <v>1</v>
      </c>
      <c r="N38" s="231">
        <f>SUMPRODUCT((L37:L40=L38)*(K37:K40&lt;K38))+L38</f>
        <v>3</v>
      </c>
      <c r="O38" s="232" t="str">
        <f>INDEX(C37:C41,MATCH(2,N37:N41,0),0)</f>
        <v>Sweden</v>
      </c>
      <c r="P38" s="231">
        <f>INDEX(L37:L41,MATCH(O38,C37:C41,0),0)</f>
        <v>1</v>
      </c>
      <c r="Q38" s="231" t="str">
        <f>IF(Q37&lt;&gt;"",O38,"")</f>
        <v>Sweden</v>
      </c>
      <c r="R38" s="231" t="str">
        <f>IF(R37&lt;&gt;"",O39,"")</f>
        <v/>
      </c>
      <c r="S38" s="231" t="str">
        <f>IF(S37&lt;&gt;"",O40,"")</f>
        <v/>
      </c>
      <c r="T38" s="231" t="str">
        <f>IF(T37&lt;&gt;"",O41,"")</f>
        <v/>
      </c>
      <c r="V38" s="231" t="str">
        <f t="shared" ref="V38:V40" si="70">IF(Q38&lt;&gt;"",Q38,"")</f>
        <v>Sweden</v>
      </c>
      <c r="W38" s="231">
        <f>SUMPRODUCT((DA$3:DA$105=V38)*(DD$3:DD$105=V39)*(DE$3:DE$105="W"))+SUMPRODUCT((DA$3:DA$105=V38)*(DD$3:DD$105=V40)*(DE$3:DE$105="W"))+SUMPRODUCT((DA$3:DA$105=V38)*(DD$3:DD$105=V41)*(DE$3:DE$105="W"))+SUMPRODUCT((DA$3:DA$105=V38)*(DD$3:DD$105=V37)*(DE$3:DE$105="W"))+SUMPRODUCT((DA$3:DA$105=V39)*(DD$3:DD$105=V38)*(DF$3:DF$105="W"))+SUMPRODUCT((DA$3:DA$105=V40)*(DD$3:DD$105=V38)*(DF$3:DF$105="W"))+SUMPRODUCT((DA$3:DA$105=V41)*(DD$3:DD$105=V38)*(DF$3:DF$105="W"))+SUMPRODUCT((DA$3:DA$105=V37)*(DD$3:DD$105=V38)*(DF$3:DF$105="W"))</f>
        <v>0</v>
      </c>
      <c r="X38" s="231">
        <f>SUMPRODUCT((DA$3:DA$105=V38)*(DD$3:DD$105=V39)*(DE$3:DE$105="D"))+SUMPRODUCT((DA$3:DA$105=V38)*(DD$3:DD$105=V40)*(DE$3:DE$105="D"))+SUMPRODUCT((DA$3:DA$105=V38)*(DD$3:DD$105=V41)*(DE$3:DE$105="D"))+SUMPRODUCT((DA$3:DA$105=V38)*(DD$3:DD$105=V37)*(DE$3:DE$105="D"))+SUMPRODUCT((DA$3:DA$105=V39)*(DD$3:DD$105=V38)*(DE$3:DE$105="D"))+SUMPRODUCT((DA$3:DA$105=V40)*(DD$3:DD$105=V38)*(DE$3:DE$105="D"))+SUMPRODUCT((DA$3:DA$105=V41)*(DD$3:DD$105=V38)*(DE$3:DE$105="D"))+SUMPRODUCT((DA$3:DA$105=V37)*(DD$3:DD$105=V38)*(DE$3:DE$105="D"))</f>
        <v>0</v>
      </c>
      <c r="Y38" s="231">
        <f>SUMPRODUCT((DA$3:DA$105=V38)*(DD$3:DD$105=V39)*(DE$3:DE$105="L"))+SUMPRODUCT((DA$3:DA$105=V38)*(DD$3:DD$105=V40)*(DE$3:DE$105="L"))+SUMPRODUCT((DA$3:DA$105=V38)*(DD$3:DD$105=V41)*(DE$3:DE$105="L"))+SUMPRODUCT((DA$3:DA$105=V38)*(DD$3:DD$105=V37)*(DE$3:DE$105="L"))+SUMPRODUCT((DA$3:DA$105=V39)*(DD$3:DD$105=V38)*(DF$3:DF$105="L"))+SUMPRODUCT((DA$3:DA$105=V40)*(DD$3:DD$105=V38)*(DF$3:DF$105="L"))+SUMPRODUCT((DA$3:DA$105=V41)*(DD$3:DD$105=V38)*(DF$3:DF$105="L"))+SUMPRODUCT((DA$3:DA$105=V37)*(DD$3:DD$105=V38)*(DF$3:DF$105="L"))</f>
        <v>0</v>
      </c>
      <c r="Z38" s="231">
        <f>SUMPRODUCT((DA$3:DA$105=V38)*(DD$3:DD$105=V39)*DB$3:DB$105)+SUMPRODUCT((DA$3:DA$105=V38)*(DD$3:DD$105=V40)*DB$3:DB$105)+SUMPRODUCT((DA$3:DA$105=V38)*(DD$3:DD$105=V41)*DB$3:DB$105)+SUMPRODUCT((DA$3:DA$105=V38)*(DD$3:DD$105=V37)*DB$3:DB$105)+SUMPRODUCT((DA$3:DA$105=V39)*(DD$3:DD$105=V38)*DC$3:DC$105)+SUMPRODUCT((DA$3:DA$105=V40)*(DD$3:DD$105=V38)*DC$3:DC$105)+SUMPRODUCT((DA$3:DA$105=V41)*(DD$3:DD$105=V38)*DC$3:DC$105)+SUMPRODUCT((DA$3:DA$105=V37)*(DD$3:DD$105=V38)*DC$3:DC$105)</f>
        <v>0</v>
      </c>
      <c r="AA38" s="231">
        <f>SUMPRODUCT((DA$3:DA$105=V38)*(DD$3:DD$105=V39)*DC$3:DC$105)+SUMPRODUCT((DA$3:DA$105=V38)*(DD$3:DD$105=V40)*DC$3:DC$105)+SUMPRODUCT((DA$3:DA$105=V38)*(DD$3:DD$105=V41)*DC$3:DC$105)+SUMPRODUCT((DA$3:DA$105=V38)*(DD$3:DD$105=V37)*DC$3:DC$105)+SUMPRODUCT((DA$3:DA$105=V39)*(DD$3:DD$105=V38)*DB$3:DB$105)+SUMPRODUCT((DA$3:DA$105=V40)*(DD$3:DD$105=V38)*DB$3:DB$105)+SUMPRODUCT((DA$3:DA$105=V41)*(DD$3:DD$105=V38)*DB$3:DB$105)+SUMPRODUCT((DA$3:DA$105=V37)*(DD$3:DD$105=V38)*DB$3:DB$105)</f>
        <v>0</v>
      </c>
      <c r="AB38" s="231">
        <f>Z38-AA38+1000</f>
        <v>1000</v>
      </c>
      <c r="AC38" s="231">
        <f t="shared" si="67"/>
        <v>0</v>
      </c>
      <c r="AD38" s="231">
        <f>IF(V38&lt;&gt;"",VLOOKUP(V38,C$4:I$52,7,FALSE),"")</f>
        <v>1000</v>
      </c>
      <c r="AE38" s="231">
        <f>IF(V38&lt;&gt;"",VLOOKUP(V38,C$4:I$52,5,FALSE),"")</f>
        <v>0</v>
      </c>
      <c r="AF38" s="231">
        <f>IF(V38&lt;&gt;"",VLOOKUP(V38,C$4:K$52,9,FALSE),"")</f>
        <v>-142</v>
      </c>
      <c r="AG38" s="231">
        <f t="shared" si="68"/>
        <v>0</v>
      </c>
      <c r="AH38" s="231">
        <f>IF(V38&lt;&gt;"",RANK(AG38,AG37:AG41),"")</f>
        <v>1</v>
      </c>
      <c r="AI38" s="231">
        <f>IF(V38&lt;&gt;"",SUMPRODUCT((AG37:AG41=AG38)*(AB37:AB41&gt;AB38)),"")</f>
        <v>0</v>
      </c>
      <c r="AJ38" s="231">
        <f>IF(V38&lt;&gt;"",SUMPRODUCT((AG37:AG41=AG38)*(AB37:AB41=AB38)*(Z37:Z41&gt;Z38)),"")</f>
        <v>0</v>
      </c>
      <c r="AK38" s="231">
        <f>IF(V38&lt;&gt;"",SUMPRODUCT((AG37:AG41=AG38)*(AB37:AB41=AB38)*(Z37:Z41=Z38)*(AD37:AD41&gt;AD38)),"")</f>
        <v>0</v>
      </c>
      <c r="AL38" s="231">
        <f>IF(V38&lt;&gt;"",SUMPRODUCT((AG37:AG41=AG38)*(AB37:AB41=AB38)*(Z37:Z41=Z38)*(AD37:AD41=AD38)*(AE37:AE41&gt;AE38)),"")</f>
        <v>0</v>
      </c>
      <c r="AM38" s="231">
        <f>IF(V38&lt;&gt;"",SUMPRODUCT((AG37:AG41=AG38)*(AB37:AB41=AB38)*(Z37:Z41=Z38)*(AD37:AD41=AD38)*(AE37:AE41=AE38)*(AF37:AF41&gt;AF38)),"")</f>
        <v>2</v>
      </c>
      <c r="AN38" s="231">
        <f>IF(V38&lt;&gt;"",IF(AN117&lt;&gt;"",IF(U115=3,AN117,AN117+U115),SUM(AH38:AM38)),"")</f>
        <v>3</v>
      </c>
      <c r="AO38" s="231" t="str">
        <f>IF(V38&lt;&gt;"",INDEX(V37:V41,MATCH(2,AN37:AN41,0),0),"")</f>
        <v>Japan</v>
      </c>
      <c r="AP38" s="231" t="str">
        <f>IF(R37&lt;&gt;"",R37,"")</f>
        <v/>
      </c>
      <c r="AQ38" s="231">
        <f>SUMPRODUCT((DA$3:DA$105=AP38)*(DD$3:DD$105=AP39)*(DE$3:DE$105="W"))+SUMPRODUCT((DA$3:DA$105=AP38)*(DD$3:DD$105=AP40)*(DE$3:DE$105="W"))+SUMPRODUCT((DA$3:DA$105=AP38)*(DD$3:DD$105=AP41)*(DE$3:DE$105="W"))+SUMPRODUCT((DA$3:DA$105=AP39)*(DD$3:DD$105=AP38)*(DF$3:DF$105="W"))+SUMPRODUCT((DA$3:DA$105=AP40)*(DD$3:DD$105=AP38)*(DF$3:DF$105="W"))+SUMPRODUCT((DA$3:DA$105=AP41)*(DD$3:DD$105=AP38)*(DF$3:DF$105="W"))</f>
        <v>0</v>
      </c>
      <c r="AR38" s="231">
        <f>SUMPRODUCT((DA$3:DA$105=AP38)*(DD$3:DD$105=AP39)*(DE$3:DE$105="D"))+SUMPRODUCT((DA$3:DA$105=AP38)*(DD$3:DD$105=AP40)*(DE$3:DE$105="D"))+SUMPRODUCT((DA$3:DA$105=AP38)*(DD$3:DD$105=AP41)*(DE$3:DE$105="D"))+SUMPRODUCT((DA$3:DA$105=AP39)*(DD$3:DD$105=AP38)*(DE$3:DE$105="D"))+SUMPRODUCT((DA$3:DA$105=AP40)*(DD$3:DD$105=AP38)*(DE$3:DE$105="D"))+SUMPRODUCT((DA$3:DA$105=AP41)*(DD$3:DD$105=AP38)*(DE$3:DE$105="D"))</f>
        <v>0</v>
      </c>
      <c r="AS38" s="231">
        <f>SUMPRODUCT((DA$3:DA$105=AP38)*(DD$3:DD$105=AP39)*(DE$3:DE$105="L"))+SUMPRODUCT((DA$3:DA$105=AP38)*(DD$3:DD$105=AP40)*(DE$3:DE$105="L"))+SUMPRODUCT((DA$3:DA$105=AP38)*(DD$3:DD$105=AP41)*(DE$3:DE$105="L"))+SUMPRODUCT((DA$3:DA$105=AP39)*(DD$3:DD$105=AP38)*(DF$3:DF$105="L"))+SUMPRODUCT((DA$3:DA$105=AP40)*(DD$3:DD$105=AP38)*(DF$3:DF$105="L"))+SUMPRODUCT((DA$3:DA$105=AP41)*(DD$3:DD$105=AP38)*(DF$3:DF$105="L"))</f>
        <v>0</v>
      </c>
      <c r="AT38" s="231">
        <f>SUMPRODUCT((DA$3:DA$105=AP38)*(DD$3:DD$105=AP39)*DB$3:DB$105)+SUMPRODUCT((DA$3:DA$105=AP38)*(DD$3:DD$105=AP40)*DB$3:DB$105)+SUMPRODUCT((DA$3:DA$105=AP38)*(DD$3:DD$105=AP41)*DB$3:DB$105)+SUMPRODUCT((DA$3:DA$105=AP38)*(DD$3:DD$105=AP37)*DB$3:DB$105)+SUMPRODUCT((DA$3:DA$105=AP39)*(DD$3:DD$105=AP38)*DC$3:DC$105)+SUMPRODUCT((DA$3:DA$105=AP40)*(DD$3:DD$105=AP38)*DC$3:DC$105)+SUMPRODUCT((DA$3:DA$105=AP41)*(DD$3:DD$105=AP38)*DC$3:DC$105)+SUMPRODUCT((DA$3:DA$105=AP37)*(DD$3:DD$105=AP38)*DC$3:DC$105)</f>
        <v>0</v>
      </c>
      <c r="AU38" s="231">
        <f>SUMPRODUCT((DA$3:DA$105=AP38)*(DD$3:DD$105=AP39)*DC$3:DC$105)+SUMPRODUCT((DA$3:DA$105=AP38)*(DD$3:DD$105=AP40)*DC$3:DC$105)+SUMPRODUCT((DA$3:DA$105=AP38)*(DD$3:DD$105=AP41)*DC$3:DC$105)+SUMPRODUCT((DA$3:DA$105=AP38)*(DD$3:DD$105=AP37)*DC$3:DC$105)+SUMPRODUCT((DA$3:DA$105=AP39)*(DD$3:DD$105=AP38)*DB$3:DB$105)+SUMPRODUCT((DA$3:DA$105=AP40)*(DD$3:DD$105=AP38)*DB$3:DB$105)+SUMPRODUCT((DA$3:DA$105=AP41)*(DD$3:DD$105=AP38)*DB$3:DB$105)+SUMPRODUCT((DA$3:DA$105=AP37)*(DD$3:DD$105=AP38)*DB$3:DB$105)</f>
        <v>0</v>
      </c>
      <c r="AV38" s="231">
        <f>AT38-AU38+1000</f>
        <v>1000</v>
      </c>
      <c r="AW38" s="231" t="str">
        <f t="shared" ref="AW38:AW40" si="71">IF(AP38&lt;&gt;"",AQ38*3+AR38*1,"")</f>
        <v/>
      </c>
      <c r="AX38" s="231" t="str">
        <f>IF(AP38&lt;&gt;"",VLOOKUP(AP38,C$4:I$52,7,FALSE),"")</f>
        <v/>
      </c>
      <c r="AY38" s="231" t="str">
        <f>IF(AP38&lt;&gt;"",VLOOKUP(AP38,C$4:I$52,5,FALSE),"")</f>
        <v/>
      </c>
      <c r="AZ38" s="231" t="str">
        <f>IF(AP38&lt;&gt;"",VLOOKUP(AP38,C$4:K$52,9,FALSE),"")</f>
        <v/>
      </c>
      <c r="BA38" s="231" t="str">
        <f t="shared" ref="BA38:BA40" si="72">AW38</f>
        <v/>
      </c>
      <c r="BB38" s="231" t="str">
        <f>IF(AP38&lt;&gt;"",RANK(BA38,BA37:BA40),"")</f>
        <v/>
      </c>
      <c r="BC38" s="231" t="str">
        <f>IF(AP38&lt;&gt;"",SUMPRODUCT((BA37:BA41=BA38)*(AV37:AV41&gt;AV38)),"")</f>
        <v/>
      </c>
      <c r="BD38" s="231" t="str">
        <f>IF(AP38&lt;&gt;"",SUMPRODUCT((BA37:BA41=BA38)*(AV37:AV41=AV38)*(AT37:AT41&gt;AT38)),"")</f>
        <v/>
      </c>
      <c r="BE38" s="231" t="str">
        <f>IF(AP38&lt;&gt;"",SUMPRODUCT((BA37:BA41=BA38)*(AV37:AV41=AV38)*(AT37:AT41=AT38)*(AX37:AX41&gt;AX38)),"")</f>
        <v/>
      </c>
      <c r="BF38" s="231" t="str">
        <f>IF(AP38&lt;&gt;"",SUMPRODUCT((BA37:BA41=BA38)*(AV37:AV41=AV38)*(AT37:AT41=AT38)*(AX37:AX41=AX38)*(AY37:AY41&gt;AY38)),"")</f>
        <v/>
      </c>
      <c r="BG38" s="231" t="str">
        <f>IF(AP38&lt;&gt;"",SUMPRODUCT((BA37:BA41=BA38)*(AV37:AV41=AV38)*(AT37:AT41=AT38)*(AX37:AX41=AX38)*(AY37:AY41=AY38)*(AZ37:AZ41&gt;AZ38)),"")</f>
        <v/>
      </c>
      <c r="BH38" s="231" t="str">
        <f>IF(AP38&lt;&gt;"",IF(BH117&lt;&gt;"",IF(AO115=3,BH117,BH117+AO115),SUM(BB38:BG38)+1),"")</f>
        <v/>
      </c>
      <c r="BI38" s="231" t="str">
        <f>IF(AP38&lt;&gt;"",INDEX(AP38:AP41,MATCH(2,BH38:BH41,0),0),"")</f>
        <v/>
      </c>
      <c r="CX38" s="231" t="str">
        <f>IF(BI38&lt;&gt;"",BI38,IF(AO38&lt;&gt;"",AO38,O38))</f>
        <v>Japan</v>
      </c>
      <c r="CY38" s="231">
        <v>2</v>
      </c>
      <c r="CZ38" s="231">
        <v>36</v>
      </c>
      <c r="DA38" s="234" t="str">
        <f>Matches!H39</f>
        <v>Tunisia</v>
      </c>
      <c r="DB38" s="234">
        <f>IF($DA$2&lt;&gt;"",IF(AND(Matches!J39&lt;&gt;"",Matches!K39&lt;&gt;""),Matches!J39,0),"")</f>
        <v>0</v>
      </c>
      <c r="DC38" s="234">
        <f>IF($DA$2&lt;&gt;"",IF(AND(Matches!J39&lt;&gt;"",Matches!K39&lt;&gt;""),Matches!K39,0),"")</f>
        <v>0</v>
      </c>
      <c r="DD38" s="234" t="str">
        <f>Matches!M39</f>
        <v>Japan</v>
      </c>
      <c r="DE38" s="234" t="str">
        <f>IF(AND(Matches!J39&lt;&gt;"",Matches!K39&lt;&gt;""),IF(DB38&gt;DC38,"W",IF(DB38=DC38,"D","L")),"")</f>
        <v/>
      </c>
      <c r="DF38" s="231" t="str">
        <f t="shared" si="0"/>
        <v/>
      </c>
      <c r="DQ38" s="238"/>
      <c r="DR38" s="239"/>
      <c r="DS38" s="240" t="str">
        <f t="shared" si="16"/>
        <v>Uruguay</v>
      </c>
      <c r="DT38" s="241" t="s">
        <v>665</v>
      </c>
      <c r="DU38" s="240"/>
      <c r="DV38" s="233">
        <v>32</v>
      </c>
      <c r="DW38" s="242" t="s">
        <v>90</v>
      </c>
      <c r="DX38" s="230"/>
      <c r="DY38" s="243">
        <v>32</v>
      </c>
      <c r="DZ38" s="244">
        <f t="shared" si="14"/>
        <v>46192.625</v>
      </c>
      <c r="EA38" s="245">
        <v>46192.625</v>
      </c>
      <c r="EB38" s="246">
        <f t="shared" si="15"/>
        <v>46192.625</v>
      </c>
      <c r="EC38" s="245"/>
      <c r="EE38" s="233" t="str">
        <f>INDEX(Language!$A$1:$K$177,MATCH(Setup!B39,Language!$B$1:$B$177,0),MATCH(Setup!$C$5,Language!$A$1:$J$1,0))</f>
        <v>Uruguay</v>
      </c>
    </row>
    <row r="39" spans="1:135" ht="13.5" customHeight="1" x14ac:dyDescent="0.25">
      <c r="A39" s="230">
        <f>Setup!F30+100</f>
        <v>142</v>
      </c>
      <c r="B39" s="231">
        <f>VLOOKUP(C39,CX$37:CY$41,2,FALSE)</f>
        <v>3</v>
      </c>
      <c r="C39" s="232" t="str">
        <f t="shared" si="69"/>
        <v>Sweden</v>
      </c>
      <c r="D39" s="231">
        <f>SUMPRODUCT((DA$3:DA$105=C39)*(DE$3:DE$105="W"))+SUMPRODUCT((DD$3:DD$105=C39)*(DF$3:DF$105="W"))</f>
        <v>0</v>
      </c>
      <c r="E39" s="231">
        <f>SUMPRODUCT((DA$3:DA$105=C39)*(DE$3:DE$105="D"))+SUMPRODUCT((DD$3:DD$105=C39)*(DF$3:DF$105="D"))</f>
        <v>0</v>
      </c>
      <c r="F39" s="231">
        <f>SUMPRODUCT((DA$3:DA$105=C39)*(DE$3:DE$105="L"))+SUMPRODUCT((DD$3:DD$105=C39)*(DF$3:DF$105="L"))</f>
        <v>0</v>
      </c>
      <c r="G39" s="231">
        <f>SUMIF(DA$3:DA$123,C39,DB$3:DB$123)+SUMIF(DD$3:DD$123,C39,DC$3:DC$123)</f>
        <v>0</v>
      </c>
      <c r="H39" s="231">
        <f>SUMIF(DD$3:DD$123,C39,DB$3:DB$123)+SUMIF(DA$3:DA$123,C39,DC$3:DC$123)</f>
        <v>0</v>
      </c>
      <c r="I39" s="231">
        <f t="shared" si="65"/>
        <v>1000</v>
      </c>
      <c r="J39" s="231">
        <f t="shared" si="66"/>
        <v>0</v>
      </c>
      <c r="K39" s="231">
        <f>IF(Setup!G30&lt;&gt;"",Setup!G30,-A39)</f>
        <v>-142</v>
      </c>
      <c r="L39" s="231">
        <f>IF(COUNTIF(J$37:J$41,4)&lt;&gt;4,RANK(J39,J$37:J$41),J118)</f>
        <v>1</v>
      </c>
      <c r="N39" s="231">
        <f>SUMPRODUCT((L37:L40=L39)*(K37:K40&lt;K39))+L39</f>
        <v>2</v>
      </c>
      <c r="O39" s="232" t="str">
        <f>INDEX(C37:C41,MATCH(3,N37:N41,0),0)</f>
        <v>Japan</v>
      </c>
      <c r="P39" s="231">
        <f>INDEX(L37:L41,MATCH(O39,C37:C41,0),0)</f>
        <v>1</v>
      </c>
      <c r="Q39" s="231" t="str">
        <f>IF(AND(Q38&lt;&gt;"",P39=1),O39,"")</f>
        <v>Japan</v>
      </c>
      <c r="R39" s="231" t="str">
        <f>IF(AND(R38&lt;&gt;"",P40=2),O40,"")</f>
        <v/>
      </c>
      <c r="S39" s="231" t="str">
        <f>IF(AND(S38&lt;&gt;"",P41=3),O41,"")</f>
        <v/>
      </c>
      <c r="V39" s="231" t="str">
        <f t="shared" si="70"/>
        <v>Japan</v>
      </c>
      <c r="W39" s="231">
        <f>SUMPRODUCT((DA$3:DA$105=V39)*(DD$3:DD$105=V40)*(DE$3:DE$105="W"))+SUMPRODUCT((DA$3:DA$105=V39)*(DD$3:DD$105=V41)*(DE$3:DE$105="W"))+SUMPRODUCT((DA$3:DA$105=V39)*(DD$3:DD$105=V37)*(DE$3:DE$105="W"))+SUMPRODUCT((DA$3:DA$105=V39)*(DD$3:DD$105=V38)*(DE$3:DE$105="W"))+SUMPRODUCT((DA$3:DA$105=V40)*(DD$3:DD$105=V39)*(DF$3:DF$105="W"))+SUMPRODUCT((DA$3:DA$105=V41)*(DD$3:DD$105=V39)*(DF$3:DF$105="W"))+SUMPRODUCT((DA$3:DA$105=V37)*(DD$3:DD$105=V39)*(DF$3:DF$105="W"))+SUMPRODUCT((DA$3:DA$105=V38)*(DD$3:DD$105=V39)*(DF$3:DF$105="W"))</f>
        <v>0</v>
      </c>
      <c r="X39" s="231">
        <f>SUMPRODUCT((DA$3:DA$105=V39)*(DD$3:DD$105=V40)*(DE$3:DE$105="D"))+SUMPRODUCT((DA$3:DA$105=V39)*(DD$3:DD$105=V41)*(DE$3:DE$105="D"))+SUMPRODUCT((DA$3:DA$105=V39)*(DD$3:DD$105=V37)*(DE$3:DE$105="D"))+SUMPRODUCT((DA$3:DA$105=V39)*(DD$3:DD$105=V38)*(DE$3:DE$105="D"))+SUMPRODUCT((DA$3:DA$105=V40)*(DD$3:DD$105=V39)*(DE$3:DE$105="D"))+SUMPRODUCT((DA$3:DA$105=V41)*(DD$3:DD$105=V39)*(DE$3:DE$105="D"))+SUMPRODUCT((DA$3:DA$105=V37)*(DD$3:DD$105=V39)*(DE$3:DE$105="D"))+SUMPRODUCT((DA$3:DA$105=V38)*(DD$3:DD$105=V39)*(DE$3:DE$105="D"))</f>
        <v>0</v>
      </c>
      <c r="Y39" s="231">
        <f>SUMPRODUCT((DA$3:DA$105=V39)*(DD$3:DD$105=V40)*(DE$3:DE$105="L"))+SUMPRODUCT((DA$3:DA$105=V39)*(DD$3:DD$105=V41)*(DE$3:DE$105="L"))+SUMPRODUCT((DA$3:DA$105=V39)*(DD$3:DD$105=V37)*(DE$3:DE$105="L"))+SUMPRODUCT((DA$3:DA$105=V39)*(DD$3:DD$105=V38)*(DE$3:DE$105="L"))+SUMPRODUCT((DA$3:DA$105=V40)*(DD$3:DD$105=V39)*(DF$3:DF$105="L"))+SUMPRODUCT((DA$3:DA$105=V41)*(DD$3:DD$105=V39)*(DF$3:DF$105="L"))+SUMPRODUCT((DA$3:DA$105=V37)*(DD$3:DD$105=V39)*(DF$3:DF$105="L"))+SUMPRODUCT((DA$3:DA$105=V38)*(DD$3:DD$105=V39)*(DF$3:DF$105="L"))</f>
        <v>0</v>
      </c>
      <c r="Z39" s="231">
        <f>SUMPRODUCT((DA$3:DA$105=V39)*(DD$3:DD$105=V40)*DB$3:DB$105)+SUMPRODUCT((DA$3:DA$105=V39)*(DD$3:DD$105=V41)*DB$3:DB$105)+SUMPRODUCT((DA$3:DA$105=V39)*(DD$3:DD$105=V37)*DB$3:DB$105)+SUMPRODUCT((DA$3:DA$105=V39)*(DD$3:DD$105=V38)*DB$3:DB$105)+SUMPRODUCT((DA$3:DA$105=V40)*(DD$3:DD$105=V39)*DC$3:DC$105)+SUMPRODUCT((DA$3:DA$105=V41)*(DD$3:DD$105=V39)*DC$3:DC$105)+SUMPRODUCT((DA$3:DA$105=V37)*(DD$3:DD$105=V39)*DC$3:DC$105)+SUMPRODUCT((DA$3:DA$105=V38)*(DD$3:DD$105=V39)*DC$3:DC$105)</f>
        <v>0</v>
      </c>
      <c r="AA39" s="231">
        <f>SUMPRODUCT((DA$3:DA$105=V39)*(DD$3:DD$105=V40)*DC$3:DC$105)+SUMPRODUCT((DA$3:DA$105=V39)*(DD$3:DD$105=V41)*DC$3:DC$105)+SUMPRODUCT((DA$3:DA$105=V39)*(DD$3:DD$105=V37)*DC$3:DC$105)+SUMPRODUCT((DA$3:DA$105=V39)*(DD$3:DD$105=V38)*DC$3:DC$105)+SUMPRODUCT((DA$3:DA$105=V40)*(DD$3:DD$105=V39)*DB$3:DB$105)+SUMPRODUCT((DA$3:DA$105=V41)*(DD$3:DD$105=V39)*DB$3:DB$105)+SUMPRODUCT((DA$3:DA$105=V37)*(DD$3:DD$105=V39)*DB$3:DB$105)+SUMPRODUCT((DA$3:DA$105=V38)*(DD$3:DD$105=V39)*DB$3:DB$105)</f>
        <v>0</v>
      </c>
      <c r="AB39" s="231">
        <f>Z39-AA39+1000</f>
        <v>1000</v>
      </c>
      <c r="AC39" s="231">
        <f t="shared" si="67"/>
        <v>0</v>
      </c>
      <c r="AD39" s="231">
        <f>IF(V39&lt;&gt;"",VLOOKUP(V39,C$4:I$52,7,FALSE),"")</f>
        <v>1000</v>
      </c>
      <c r="AE39" s="231">
        <f>IF(V39&lt;&gt;"",VLOOKUP(V39,C$4:I$52,5,FALSE),"")</f>
        <v>0</v>
      </c>
      <c r="AF39" s="231">
        <f>IF(V39&lt;&gt;"",VLOOKUP(V39,C$4:K$52,9,FALSE),"")</f>
        <v>-119</v>
      </c>
      <c r="AG39" s="231">
        <f t="shared" si="68"/>
        <v>0</v>
      </c>
      <c r="AH39" s="231">
        <f>IF(V39&lt;&gt;"",RANK(AG39,AG37:AG41),"")</f>
        <v>1</v>
      </c>
      <c r="AI39" s="231">
        <f>IF(V39&lt;&gt;"",SUMPRODUCT((AG37:AG41=AG39)*(AB37:AB41&gt;AB39)),"")</f>
        <v>0</v>
      </c>
      <c r="AJ39" s="231">
        <f>IF(V39&lt;&gt;"",SUMPRODUCT((AG37:AG41=AG39)*(AB37:AB41=AB39)*(Z37:Z41&gt;Z39)),"")</f>
        <v>0</v>
      </c>
      <c r="AK39" s="231">
        <f>IF(V39&lt;&gt;"",SUMPRODUCT((AG37:AG41=AG39)*(AB37:AB41=AB39)*(Z37:Z41=Z39)*(AD37:AD41&gt;AD39)),"")</f>
        <v>0</v>
      </c>
      <c r="AL39" s="231">
        <f>IF(V39&lt;&gt;"",SUMPRODUCT((AG37:AG41=AG39)*(AB37:AB41=AB39)*(Z37:Z41=Z39)*(AD37:AD41=AD39)*(AE37:AE41&gt;AE39)),"")</f>
        <v>0</v>
      </c>
      <c r="AM39" s="231">
        <f>IF(V39&lt;&gt;"",SUMPRODUCT((AG37:AG41=AG39)*(AB37:AB41=AB39)*(Z37:Z41=Z39)*(AD37:AD41=AD39)*(AE37:AE41=AE39)*(AF37:AF41&gt;AF39)),"")</f>
        <v>1</v>
      </c>
      <c r="AN39" s="231">
        <f>IF(V39&lt;&gt;"",IF(AN118&lt;&gt;"",IF(U115=3,AN118,AN118+U115),SUM(AH39:AM39)),"")</f>
        <v>2</v>
      </c>
      <c r="AO39" s="231" t="str">
        <f>IF(V39&lt;&gt;"",INDEX(V37:V41,MATCH(3,AN37:AN41,0),0),"")</f>
        <v>Sweden</v>
      </c>
      <c r="AP39" s="231" t="str">
        <f>IF(R38&lt;&gt;"",R38,"")</f>
        <v/>
      </c>
      <c r="AQ39" s="231">
        <f>SUMPRODUCT((DA$3:DA$105=AP39)*(DD$3:DD$105=AP40)*(DE$3:DE$105="W"))+SUMPRODUCT((DA$3:DA$105=AP39)*(DD$3:DD$105=AP41)*(DE$3:DE$105="W"))+SUMPRODUCT((DA$3:DA$105=AP39)*(DD$3:DD$105=AP38)*(DE$3:DE$105="W"))+SUMPRODUCT((DA$3:DA$105=AP40)*(DD$3:DD$105=AP39)*(DF$3:DF$105="W"))+SUMPRODUCT((DA$3:DA$105=AP41)*(DD$3:DD$105=AP39)*(DF$3:DF$105="W"))+SUMPRODUCT((DA$3:DA$105=AP38)*(DD$3:DD$105=AP39)*(DF$3:DF$105="W"))</f>
        <v>0</v>
      </c>
      <c r="AR39" s="231">
        <f>SUMPRODUCT((DA$3:DA$105=AP39)*(DD$3:DD$105=AP40)*(DE$3:DE$105="D"))+SUMPRODUCT((DA$3:DA$105=AP39)*(DD$3:DD$105=AP41)*(DE$3:DE$105="D"))+SUMPRODUCT((DA$3:DA$105=AP39)*(DD$3:DD$105=AP38)*(DE$3:DE$105="D"))+SUMPRODUCT((DA$3:DA$105=AP40)*(DD$3:DD$105=AP39)*(DE$3:DE$105="D"))+SUMPRODUCT((DA$3:DA$105=AP41)*(DD$3:DD$105=AP39)*(DE$3:DE$105="D"))+SUMPRODUCT((DA$3:DA$105=AP38)*(DD$3:DD$105=AP39)*(DE$3:DE$105="D"))</f>
        <v>0</v>
      </c>
      <c r="AS39" s="231">
        <f>SUMPRODUCT((DA$3:DA$105=AP39)*(DD$3:DD$105=AP40)*(DE$3:DE$105="L"))+SUMPRODUCT((DA$3:DA$105=AP39)*(DD$3:DD$105=AP41)*(DE$3:DE$105="L"))+SUMPRODUCT((DA$3:DA$105=AP39)*(DD$3:DD$105=AP38)*(DE$3:DE$105="L"))+SUMPRODUCT((DA$3:DA$105=AP40)*(DD$3:DD$105=AP39)*(DF$3:DF$105="L"))+SUMPRODUCT((DA$3:DA$105=AP41)*(DD$3:DD$105=AP39)*(DF$3:DF$105="L"))+SUMPRODUCT((DA$3:DA$105=AP38)*(DD$3:DD$105=AP39)*(DF$3:DF$105="L"))</f>
        <v>0</v>
      </c>
      <c r="AT39" s="231">
        <f>SUMPRODUCT((DA$3:DA$105=AP39)*(DD$3:DD$105=AP40)*DB$3:DB$105)+SUMPRODUCT((DA$3:DA$105=AP39)*(DD$3:DD$105=AP41)*DB$3:DB$105)+SUMPRODUCT((DA$3:DA$105=AP39)*(DD$3:DD$105=AP37)*DB$3:DB$105)+SUMPRODUCT((DA$3:DA$105=AP39)*(DD$3:DD$105=AP38)*DB$3:DB$105)+SUMPRODUCT((DA$3:DA$105=AP40)*(DD$3:DD$105=AP39)*DC$3:DC$105)+SUMPRODUCT((DA$3:DA$105=AP41)*(DD$3:DD$105=AP39)*DC$3:DC$105)+SUMPRODUCT((DA$3:DA$105=AP37)*(DD$3:DD$105=AP39)*DC$3:DC$105)+SUMPRODUCT((DA$3:DA$105=AP38)*(DD$3:DD$105=AP39)*DC$3:DC$105)</f>
        <v>0</v>
      </c>
      <c r="AU39" s="231">
        <f>SUMPRODUCT((DA$3:DA$105=AP39)*(DD$3:DD$105=AP40)*DC$3:DC$105)+SUMPRODUCT((DA$3:DA$105=AP39)*(DD$3:DD$105=AP41)*DC$3:DC$105)+SUMPRODUCT((DA$3:DA$105=AP39)*(DD$3:DD$105=AP37)*DC$3:DC$105)+SUMPRODUCT((DA$3:DA$105=AP39)*(DD$3:DD$105=AP38)*DC$3:DC$105)+SUMPRODUCT((DA$3:DA$105=AP40)*(DD$3:DD$105=AP39)*DB$3:DB$105)+SUMPRODUCT((DA$3:DA$105=AP41)*(DD$3:DD$105=AP39)*DB$3:DB$105)+SUMPRODUCT((DA$3:DA$105=AP37)*(DD$3:DD$105=AP39)*DB$3:DB$105)+SUMPRODUCT((DA$3:DA$105=AP38)*(DD$3:DD$105=AP39)*DB$3:DB$105)</f>
        <v>0</v>
      </c>
      <c r="AV39" s="231">
        <f>AT39-AU39+1000</f>
        <v>1000</v>
      </c>
      <c r="AW39" s="231" t="str">
        <f t="shared" si="71"/>
        <v/>
      </c>
      <c r="AX39" s="231" t="str">
        <f>IF(AP39&lt;&gt;"",VLOOKUP(AP39,C$4:I$52,7,FALSE),"")</f>
        <v/>
      </c>
      <c r="AY39" s="231" t="str">
        <f>IF(AP39&lt;&gt;"",VLOOKUP(AP39,C$4:I$52,5,FALSE),"")</f>
        <v/>
      </c>
      <c r="AZ39" s="231" t="str">
        <f>IF(AP39&lt;&gt;"",VLOOKUP(AP39,C$4:K$52,9,FALSE),"")</f>
        <v/>
      </c>
      <c r="BA39" s="231" t="str">
        <f t="shared" si="72"/>
        <v/>
      </c>
      <c r="BB39" s="231" t="str">
        <f>IF(AP39&lt;&gt;"",RANK(BA39,BA37:BA40),"")</f>
        <v/>
      </c>
      <c r="BC39" s="231" t="str">
        <f>IF(AP39&lt;&gt;"",SUMPRODUCT((BA37:BA41=BA39)*(AV37:AV41&gt;AV39)),"")</f>
        <v/>
      </c>
      <c r="BD39" s="231" t="str">
        <f>IF(AP39&lt;&gt;"",SUMPRODUCT((BA37:BA41=BA39)*(AV37:AV41=AV39)*(AT37:AT41&gt;AT39)),"")</f>
        <v/>
      </c>
      <c r="BE39" s="231" t="str">
        <f>IF(AP39&lt;&gt;"",SUMPRODUCT((BA37:BA41=BA39)*(AV37:AV41=AV39)*(AT37:AT41=AT39)*(AX37:AX41&gt;AX39)),"")</f>
        <v/>
      </c>
      <c r="BF39" s="231" t="str">
        <f>IF(AP39&lt;&gt;"",SUMPRODUCT((BA37:BA41=BA39)*(AV37:AV41=AV39)*(AT37:AT41=AT39)*(AX37:AX41=AX39)*(AY37:AY41&gt;AY39)),"")</f>
        <v/>
      </c>
      <c r="BG39" s="231" t="str">
        <f>IF(AP39&lt;&gt;"",SUMPRODUCT((BA37:BA41=BA39)*(AV37:AV41=AV39)*(AT37:AT41=AT39)*(AX37:AX41=AX39)*(AY37:AY41=AY39)*(AZ37:AZ41&gt;AZ39)),"")</f>
        <v/>
      </c>
      <c r="BH39" s="231" t="str">
        <f>IF(AP39&lt;&gt;"",IF(BH118&lt;&gt;"",IF(AO115=3,BH118,BH118+AO115),SUM(BB39:BG39)+1),"")</f>
        <v/>
      </c>
      <c r="BI39" s="231" t="str">
        <f>IF(AP39&lt;&gt;"",INDEX(AP38:AP41,MATCH(3,BH38:BH41,0),0),"")</f>
        <v/>
      </c>
      <c r="BJ39" s="231" t="str">
        <f>IF(S37&lt;&gt;"",S37,"")</f>
        <v/>
      </c>
      <c r="BK39" s="231">
        <f>SUMPRODUCT((DA$3:DA$105=BJ39)*(DD$3:DD$105=BJ40)*(DE$3:DE$105="W"))+SUMPRODUCT((DA$3:DA$105=BJ39)*(DD$3:DD$105=BJ41)*(DE$3:DE$105="W"))+SUMPRODUCT((DA$3:DA$105=BJ39)*(DD$3:DD$105=BJ81)*(DE$3:DE$105="W"))+SUMPRODUCT((DA$3:DA$105=BJ40)*(DD$3:DD$105=BJ39)*(DF$3:DF$105="W"))+SUMPRODUCT((DA$3:DA$105=BJ41)*(DD$3:DD$105=BJ39)*(DF$3:DF$105="W"))+SUMPRODUCT((DA$3:DA$105=BJ81)*(DD$3:DD$105=BJ39)*(DF$3:DF$105="W"))</f>
        <v>0</v>
      </c>
      <c r="BL39" s="231">
        <f>SUMPRODUCT((DA$3:DA$105=BJ39)*(DD$3:DD$105=BJ40)*(DE$3:DE$105="D"))+SUMPRODUCT((DA$3:DA$105=BJ39)*(DD$3:DD$105=BJ41)*(DE$3:DE$105="D"))+SUMPRODUCT((DA$3:DA$105=BJ39)*(DD$3:DD$105=BJ81)*(DE$3:DE$105="D"))+SUMPRODUCT((DA$3:DA$105=BJ40)*(DD$3:DD$105=BJ39)*(DE$3:DE$105="D"))+SUMPRODUCT((DA$3:DA$105=BJ41)*(DD$3:DD$105=BJ39)*(DE$3:DE$105="D"))+SUMPRODUCT((DA$3:DA$105=BJ81)*(DD$3:DD$105=BJ39)*(DE$3:DE$105="D"))</f>
        <v>0</v>
      </c>
      <c r="BM39" s="231">
        <f>SUMPRODUCT((DA$3:DA$105=BJ39)*(DD$3:DD$105=BJ40)*(DE$3:DE$105="L"))+SUMPRODUCT((DA$3:DA$105=BJ39)*(DD$3:DD$105=BJ41)*(DE$3:DE$105="L"))+SUMPRODUCT((DA$3:DA$105=BJ39)*(DD$3:DD$105=BJ81)*(DE$3:DE$105="L"))+SUMPRODUCT((DA$3:DA$105=BJ40)*(DD$3:DD$105=BJ39)*(DF$3:DF$105="L"))+SUMPRODUCT((DA$3:DA$105=BJ41)*(DD$3:DD$105=BJ39)*(DF$3:DF$105="L"))+SUMPRODUCT((DA$3:DA$105=BJ81)*(DD$3:DD$105=BJ39)*(DF$3:DF$105="L"))</f>
        <v>0</v>
      </c>
      <c r="BN39" s="231">
        <f>SUMPRODUCT((DA$3:DA$105=BJ39)*(DD$3:DD$105=BJ40)*DB$3:DB$105)+SUMPRODUCT((DA$3:DA$105=BJ39)*(DD$3:DD$105=BJ41)*DB$3:DB$105)+SUMPRODUCT((DA$3:DA$105=BJ39)*(DD$3:DD$105=BJ37)*DB$3:DB$105)+SUMPRODUCT((DA$3:DA$105=BJ39)*(DD$3:DD$105=BJ38)*DB$3:DB$105)+SUMPRODUCT((DA$3:DA$105=BJ40)*(DD$3:DD$105=BJ39)*DC$3:DC$105)+SUMPRODUCT((DA$3:DA$105=BJ41)*(DD$3:DD$105=BJ39)*DC$3:DC$105)+SUMPRODUCT((DA$3:DA$105=BJ37)*(DD$3:DD$105=BJ39)*DC$3:DC$105)+SUMPRODUCT((DA$3:DA$105=BJ38)*(DD$3:DD$105=BJ39)*DC$3:DC$105)</f>
        <v>0</v>
      </c>
      <c r="BO39" s="231">
        <f>SUMPRODUCT((DA$3:DA$105=BJ39)*(DD$3:DD$105=BJ40)*DC$3:DC$105)+SUMPRODUCT((DA$3:DA$105=BJ39)*(DD$3:DD$105=BJ41)*DC$3:DC$105)+SUMPRODUCT((DA$3:DA$105=BJ39)*(DD$3:DD$105=BJ37)*DC$3:DC$105)+SUMPRODUCT((DA$3:DA$105=BJ39)*(DD$3:DD$105=BJ38)*DC$3:DC$105)+SUMPRODUCT((DA$3:DA$105=BJ40)*(DD$3:DD$105=BJ39)*DB$3:DB$105)+SUMPRODUCT((DA$3:DA$105=BJ41)*(DD$3:DD$105=BJ39)*DB$3:DB$105)+SUMPRODUCT((DA$3:DA$105=BJ37)*(DD$3:DD$105=BJ39)*DB$3:DB$105)+SUMPRODUCT((DA$3:DA$105=BJ38)*(DD$3:DD$105=BJ39)*DB$3:DB$105)</f>
        <v>0</v>
      </c>
      <c r="BP39" s="231">
        <f>BN39-BO39+1000</f>
        <v>1000</v>
      </c>
      <c r="BQ39" s="231" t="str">
        <f t="shared" ref="BQ39:BQ40" si="73">IF(BJ39&lt;&gt;"",BK39*3+BL39*1,"")</f>
        <v/>
      </c>
      <c r="BR39" s="231" t="str">
        <f>IF(BJ39&lt;&gt;"",VLOOKUP(BJ39,C$4:I$52,7,FALSE),"")</f>
        <v/>
      </c>
      <c r="BS39" s="231" t="str">
        <f>IF(BJ39&lt;&gt;"",VLOOKUP(BJ39,C$4:I$52,5,FALSE),"")</f>
        <v/>
      </c>
      <c r="BT39" s="231" t="str">
        <f>IF(BJ39&lt;&gt;"",VLOOKUP(BJ39,C$4:K$52,9,FALSE),"")</f>
        <v/>
      </c>
      <c r="BU39" s="231" t="str">
        <f t="shared" ref="BU39:BU40" si="74">BQ39</f>
        <v/>
      </c>
      <c r="BV39" s="231" t="str">
        <f>IF(BJ39&lt;&gt;"",RANK(BU39,BU38:BU40),"")</f>
        <v/>
      </c>
      <c r="BW39" s="231" t="str">
        <f>IF(BJ39&lt;&gt;"",SUMPRODUCT((BU37:BU41=BU39)*(BP37:BP41&gt;BP39)),"")</f>
        <v/>
      </c>
      <c r="BX39" s="231" t="str">
        <f>IF(BJ39&lt;&gt;"",SUMPRODUCT((BU37:BU41=BU39)*(BP37:BP41=BP39)*(BN37:BN41&gt;BN39)),"")</f>
        <v/>
      </c>
      <c r="BY39" s="231" t="str">
        <f>IF(BJ39&lt;&gt;"",SUMPRODUCT((BU37:BU41=BU39)*(BP37:BP41=BP39)*(BN37:BN41=BN39)*(BR37:BR41&gt;BR39)),"")</f>
        <v/>
      </c>
      <c r="BZ39" s="231" t="str">
        <f>IF(BJ39&lt;&gt;"",SUMPRODUCT((BU37:BU41=BU39)*(BP37:BP41=BP39)*(BN37:BN41=BN39)*(BR37:BR41=BR39)*(BS37:BS41&gt;BS39)),"")</f>
        <v/>
      </c>
      <c r="CA39" s="231" t="str">
        <f>IF(BJ39&lt;&gt;"",SUMPRODUCT((BU37:BU41=BU39)*(BP37:BP41=BP39)*(BN37:BN41=BN39)*(BR37:BR41=BR39)*(BS37:BS41=BS39)*(BT37:BT41&gt;BT39)),"")</f>
        <v/>
      </c>
      <c r="CB39" s="231" t="str">
        <f>IF(BJ39&lt;&gt;"",SUM(BV39:CA39)+2,"")</f>
        <v/>
      </c>
      <c r="CC39" s="231" t="str">
        <f>IF(BJ39&lt;&gt;"",INDEX(BJ39:BJ41,MATCH(3,CB39:CB41,0),0),"")</f>
        <v/>
      </c>
      <c r="CX39" s="231" t="str">
        <f>IF(CC39&lt;&gt;"",CC39,IF(BI39&lt;&gt;"",BI39,IF(AO39&lt;&gt;"",AO39,O39)))</f>
        <v>Sweden</v>
      </c>
      <c r="CY39" s="231">
        <v>3</v>
      </c>
      <c r="DA39" s="234" t="str">
        <f>Matches!H40</f>
        <v>Uruguay</v>
      </c>
      <c r="DB39" s="234">
        <f>IF($DA$2&lt;&gt;"",IF(AND(Matches!J40&lt;&gt;"",Matches!K40&lt;&gt;""),Matches!J40,0),"")</f>
        <v>0</v>
      </c>
      <c r="DC39" s="234">
        <f>IF($DA$2&lt;&gt;"",IF(AND(Matches!J40&lt;&gt;"",Matches!K40&lt;&gt;""),Matches!K40,0),"")</f>
        <v>0</v>
      </c>
      <c r="DD39" s="234" t="str">
        <f>Matches!M40</f>
        <v>Cabo Verde</v>
      </c>
      <c r="DE39" s="234" t="str">
        <f>IF(AND(Matches!J40&lt;&gt;"",Matches!K40&lt;&gt;""),IF(DB39&gt;DC39,"W",IF(DB39=DC39,"D","L")),"")</f>
        <v/>
      </c>
      <c r="DF39" s="231" t="str">
        <f t="shared" si="0"/>
        <v/>
      </c>
      <c r="DQ39" s="238" t="s">
        <v>515</v>
      </c>
      <c r="DR39" s="239"/>
      <c r="DS39" s="240" t="str">
        <f t="shared" si="16"/>
        <v>France</v>
      </c>
      <c r="DT39" s="241" t="s">
        <v>666</v>
      </c>
      <c r="DU39" s="240"/>
      <c r="DW39" s="242" t="s">
        <v>91</v>
      </c>
      <c r="DX39" s="230"/>
      <c r="DY39" s="243">
        <v>33</v>
      </c>
      <c r="DZ39" s="244">
        <f t="shared" si="14"/>
        <v>46193.666666666664</v>
      </c>
      <c r="EA39" s="247">
        <v>46193.666666666664</v>
      </c>
      <c r="EB39" s="246">
        <f t="shared" ref="EB39:EB103" si="75">EA39+TimeZoneData/24</f>
        <v>46193.666666666664</v>
      </c>
      <c r="EC39" s="247"/>
      <c r="EE39" s="233" t="str">
        <f>INDEX(Language!$A$1:$K$177,MATCH(Setup!B40,Language!$B$1:$B$177,0),MATCH(Setup!$C$5,Language!$A$1:$J$1,0))</f>
        <v>France</v>
      </c>
    </row>
    <row r="40" spans="1:135" ht="13.5" customHeight="1" x14ac:dyDescent="0.25">
      <c r="A40" s="230">
        <f>Setup!F31+100</f>
        <v>147</v>
      </c>
      <c r="B40" s="231">
        <f>VLOOKUP(C40,CX$37:CY$41,2,FALSE)</f>
        <v>4</v>
      </c>
      <c r="C40" s="232" t="str">
        <f t="shared" si="69"/>
        <v>Tunisia</v>
      </c>
      <c r="D40" s="231">
        <f>SUMPRODUCT((DA$3:DA$105=C40)*(DE$3:DE$105="W"))+SUMPRODUCT((DD$3:DD$105=C40)*(DF$3:DF$105="W"))</f>
        <v>0</v>
      </c>
      <c r="E40" s="231">
        <f>SUMPRODUCT((DA$3:DA$105=C40)*(DE$3:DE$105="D"))+SUMPRODUCT((DD$3:DD$105=C40)*(DF$3:DF$105="D"))</f>
        <v>0</v>
      </c>
      <c r="F40" s="231">
        <f>SUMPRODUCT((DA$3:DA$105=C40)*(DE$3:DE$105="L"))+SUMPRODUCT((DD$3:DD$105=C40)*(DF$3:DF$105="L"))</f>
        <v>0</v>
      </c>
      <c r="G40" s="231">
        <f>SUMIF(DA$3:DA$123,C40,DB$3:DB$123)+SUMIF(DD$3:DD$123,C40,DC$3:DC$123)</f>
        <v>0</v>
      </c>
      <c r="H40" s="231">
        <f>SUMIF(DD$3:DD$123,C40,DB$3:DB$123)+SUMIF(DA$3:DA$123,C40,DC$3:DC$123)</f>
        <v>0</v>
      </c>
      <c r="I40" s="231">
        <f t="shared" si="65"/>
        <v>1000</v>
      </c>
      <c r="J40" s="231">
        <f t="shared" si="66"/>
        <v>0</v>
      </c>
      <c r="K40" s="231">
        <f>IF(Setup!G31&lt;&gt;"",Setup!G31,-A40)</f>
        <v>-147</v>
      </c>
      <c r="L40" s="231">
        <f>IF(COUNTIF(J$37:J$41,4)&lt;&gt;4,RANK(J40,J$37:J$41),J119)</f>
        <v>1</v>
      </c>
      <c r="N40" s="231">
        <f>SUMPRODUCT((L37:L40=L40)*(K37:K40&lt;K40))+L40</f>
        <v>1</v>
      </c>
      <c r="O40" s="232" t="str">
        <f>INDEX(C37:C41,MATCH(4,N37:N41,0),0)</f>
        <v>Netherlands</v>
      </c>
      <c r="P40" s="231">
        <f>INDEX(L37:L41,MATCH(O40,C37:C41,0),0)</f>
        <v>1</v>
      </c>
      <c r="Q40" s="231" t="str">
        <f>IF(AND(Q39&lt;&gt;"",P40=1),O40,"")</f>
        <v>Netherlands</v>
      </c>
      <c r="R40" s="231" t="str">
        <f>IF(AND(R39&lt;&gt;"",P41=2),O41,"")</f>
        <v/>
      </c>
      <c r="V40" s="231" t="str">
        <f t="shared" si="70"/>
        <v>Netherlands</v>
      </c>
      <c r="W40" s="231">
        <f>SUMPRODUCT((DA$3:DA$105=V40)*(DD$3:DD$105=V41)*(DE$3:DE$105="W"))+SUMPRODUCT((DA$3:DA$105=V40)*(DD$3:DD$105=V37)*(DE$3:DE$105="W"))+SUMPRODUCT((DA$3:DA$105=V40)*(DD$3:DD$105=V38)*(DE$3:DE$105="W"))+SUMPRODUCT((DA$3:DA$105=V40)*(DD$3:DD$105=V39)*(DE$3:DE$105="W"))+SUMPRODUCT((DA$3:DA$105=V41)*(DD$3:DD$105=V40)*(DF$3:DF$105="W"))+SUMPRODUCT((DA$3:DA$105=V37)*(DD$3:DD$105=V40)*(DF$3:DF$105="W"))+SUMPRODUCT((DA$3:DA$105=V38)*(DD$3:DD$105=V40)*(DF$3:DF$105="W"))+SUMPRODUCT((DA$3:DA$105=V39)*(DD$3:DD$105=V40)*(DF$3:DF$105="W"))</f>
        <v>0</v>
      </c>
      <c r="X40" s="231">
        <f>SUMPRODUCT((DA$3:DA$105=V40)*(DD$3:DD$105=V41)*(DE$3:DE$105="D"))+SUMPRODUCT((DA$3:DA$105=V40)*(DD$3:DD$105=V37)*(DE$3:DE$105="D"))+SUMPRODUCT((DA$3:DA$105=V40)*(DD$3:DD$105=V38)*(DE$3:DE$105="D"))+SUMPRODUCT((DA$3:DA$105=V40)*(DD$3:DD$105=V39)*(DE$3:DE$105="D"))+SUMPRODUCT((DA$3:DA$105=V41)*(DD$3:DD$105=V40)*(DE$3:DE$105="D"))+SUMPRODUCT((DA$3:DA$105=V37)*(DD$3:DD$105=V40)*(DE$3:DE$105="D"))+SUMPRODUCT((DA$3:DA$105=V38)*(DD$3:DD$105=V40)*(DE$3:DE$105="D"))+SUMPRODUCT((DA$3:DA$105=V39)*(DD$3:DD$105=V40)*(DE$3:DE$105="D"))</f>
        <v>0</v>
      </c>
      <c r="Y40" s="231">
        <f>SUMPRODUCT((DA$3:DA$105=V40)*(DD$3:DD$105=V41)*(DE$3:DE$105="L"))+SUMPRODUCT((DA$3:DA$105=V40)*(DD$3:DD$105=V37)*(DE$3:DE$105="L"))+SUMPRODUCT((DA$3:DA$105=V40)*(DD$3:DD$105=V38)*(DE$3:DE$105="L"))+SUMPRODUCT((DA$3:DA$105=V40)*(DD$3:DD$105=V39)*(DE$3:DE$105="L"))+SUMPRODUCT((DA$3:DA$105=V41)*(DD$3:DD$105=V40)*(DF$3:DF$105="L"))+SUMPRODUCT((DA$3:DA$105=V37)*(DD$3:DD$105=V40)*(DF$3:DF$105="L"))+SUMPRODUCT((DA$3:DA$105=V38)*(DD$3:DD$105=V40)*(DF$3:DF$105="L"))+SUMPRODUCT((DA$3:DA$105=V39)*(DD$3:DD$105=V40)*(DF$3:DF$105="L"))</f>
        <v>0</v>
      </c>
      <c r="Z40" s="231">
        <f>SUMPRODUCT((DA$3:DA$105=V40)*(DD$3:DD$105=V41)*DB$3:DB$105)+SUMPRODUCT((DA$3:DA$105=V40)*(DD$3:DD$105=V37)*DB$3:DB$105)+SUMPRODUCT((DA$3:DA$105=V40)*(DD$3:DD$105=V38)*DB$3:DB$105)+SUMPRODUCT((DA$3:DA$105=V40)*(DD$3:DD$105=V39)*DB$3:DB$105)+SUMPRODUCT((DA$3:DA$105=V41)*(DD$3:DD$105=V40)*DC$3:DC$105)+SUMPRODUCT((DA$3:DA$105=V37)*(DD$3:DD$105=V40)*DC$3:DC$105)+SUMPRODUCT((DA$3:DA$105=V38)*(DD$3:DD$105=V40)*DC$3:DC$105)+SUMPRODUCT((DA$3:DA$105=V39)*(DD$3:DD$105=V40)*DC$3:DC$105)</f>
        <v>0</v>
      </c>
      <c r="AA40" s="231">
        <f>SUMPRODUCT((DA$3:DA$105=V40)*(DD$3:DD$105=V41)*DC$3:DC$105)+SUMPRODUCT((DA$3:DA$105=V40)*(DD$3:DD$105=V37)*DC$3:DC$105)+SUMPRODUCT((DA$3:DA$105=V40)*(DD$3:DD$105=V38)*DC$3:DC$105)+SUMPRODUCT((DA$3:DA$105=V40)*(DD$3:DD$105=V39)*DC$3:DC$105)+SUMPRODUCT((DA$3:DA$105=V41)*(DD$3:DD$105=V40)*DB$3:DB$105)+SUMPRODUCT((DA$3:DA$105=V37)*(DD$3:DD$105=V40)*DB$3:DB$105)+SUMPRODUCT((DA$3:DA$105=V38)*(DD$3:DD$105=V40)*DB$3:DB$105)+SUMPRODUCT((DA$3:DA$105=V39)*(DD$3:DD$105=V40)*DB$3:DB$105)</f>
        <v>0</v>
      </c>
      <c r="AB40" s="231">
        <f>Z40-AA40+1000</f>
        <v>1000</v>
      </c>
      <c r="AC40" s="231">
        <f t="shared" si="67"/>
        <v>0</v>
      </c>
      <c r="AD40" s="231">
        <f>IF(V40&lt;&gt;"",VLOOKUP(V40,C$4:I$52,7,FALSE),"")</f>
        <v>1000</v>
      </c>
      <c r="AE40" s="231">
        <f>IF(V40&lt;&gt;"",VLOOKUP(V40,C$4:I$52,5,FALSE),"")</f>
        <v>0</v>
      </c>
      <c r="AF40" s="231">
        <f>IF(V40&lt;&gt;"",VLOOKUP(V40,C$4:K$52,9,FALSE),"")</f>
        <v>-107</v>
      </c>
      <c r="AG40" s="231">
        <f t="shared" si="68"/>
        <v>0</v>
      </c>
      <c r="AH40" s="231">
        <f>IF(V40&lt;&gt;"",RANK(AG40,AG37:AG41),"")</f>
        <v>1</v>
      </c>
      <c r="AI40" s="231">
        <f>IF(V40&lt;&gt;"",SUMPRODUCT((AG37:AG41=AG40)*(AB37:AB41&gt;AB40)),"")</f>
        <v>0</v>
      </c>
      <c r="AJ40" s="231">
        <f>IF(V40&lt;&gt;"",SUMPRODUCT((AG37:AG41=AG40)*(AB37:AB41=AB40)*(Z37:Z41&gt;Z40)),"")</f>
        <v>0</v>
      </c>
      <c r="AK40" s="231">
        <f>IF(V40&lt;&gt;"",SUMPRODUCT((AG37:AG41=AG40)*(AB37:AB41=AB40)*(Z37:Z41=Z40)*(AD37:AD41&gt;AD40)),"")</f>
        <v>0</v>
      </c>
      <c r="AL40" s="231">
        <f>IF(V40&lt;&gt;"",SUMPRODUCT((AG37:AG41=AG40)*(AB37:AB41=AB40)*(Z37:Z41=Z40)*(AD37:AD41=AD40)*(AE37:AE41&gt;AE40)),"")</f>
        <v>0</v>
      </c>
      <c r="AM40" s="231">
        <f>IF(V40&lt;&gt;"",SUMPRODUCT((AG37:AG41=AG40)*(AB37:AB41=AB40)*(Z37:Z41=Z40)*(AD37:AD41=AD40)*(AE37:AE41=AE40)*(AF37:AF41&gt;AF40)),"")</f>
        <v>0</v>
      </c>
      <c r="AN40" s="231">
        <f>IF(V40&lt;&gt;"",IF(AN119&lt;&gt;"",IF(U115=3,AN119,AN119+U115),SUM(AH40:AM40)),"")</f>
        <v>1</v>
      </c>
      <c r="AO40" s="231" t="str">
        <f>IF(V40&lt;&gt;"",INDEX(V37:V41,MATCH(4,AN37:AN41,0),0),"")</f>
        <v>Tunisia</v>
      </c>
      <c r="AP40" s="231" t="str">
        <f>IF(R39&lt;&gt;"",R39,"")</f>
        <v/>
      </c>
      <c r="AQ40" s="231" t="str">
        <f>IF(AP40&lt;&gt;"",SUMPRODUCT((DA$3:DA$105=AP40)*(DD$3:DD$105=AP41)*(DE$3:DE$105="W"))+SUMPRODUCT((DA$3:DA$105=AP40)*(DD$3:DD$105=AP38)*(DE$3:DE$105="W"))+SUMPRODUCT((DA$3:DA$105=AP40)*(DD$3:DD$105=AP39)*(DE$3:DE$105="W"))+SUMPRODUCT((DA$3:DA$105=AP41)*(DD$3:DD$105=AP40)*(DF$3:DF$105="W"))+SUMPRODUCT((DA$3:DA$105=AP38)*(DD$3:DD$105=AP40)*(DF$3:DF$105="W"))+SUMPRODUCT((DA$3:DA$105=AP39)*(DD$3:DD$105=AP40)*(DF$3:DF$105="W")),"")</f>
        <v/>
      </c>
      <c r="AR40" s="231" t="str">
        <f>IF(AP40&lt;&gt;"",SUMPRODUCT((DA$3:DA$105=AP40)*(DD$3:DD$105=AP41)*(DE$3:DE$105="D"))+SUMPRODUCT((DA$3:DA$105=AP40)*(DD$3:DD$105=AP38)*(DE$3:DE$105="D"))+SUMPRODUCT((DA$3:DA$105=AP40)*(DD$3:DD$105=AP39)*(DE$3:DE$105="D"))+SUMPRODUCT((DA$3:DA$105=AP41)*(DD$3:DD$105=AP40)*(DE$3:DE$105="D"))+SUMPRODUCT((DA$3:DA$105=AP38)*(DD$3:DD$105=AP40)*(DE$3:DE$105="D"))+SUMPRODUCT((DA$3:DA$105=AP39)*(DD$3:DD$105=AP40)*(DE$3:DE$105="D")),"")</f>
        <v/>
      </c>
      <c r="AS40" s="231" t="str">
        <f>IF(AP40&lt;&gt;"",SUMPRODUCT((DA$3:DA$105=AP40)*(DD$3:DD$105=AP41)*(DE$3:DE$105="L"))+SUMPRODUCT((DA$3:DA$105=AP40)*(DD$3:DD$105=AP38)*(DE$3:DE$105="L"))+SUMPRODUCT((DA$3:DA$105=AP40)*(DD$3:DD$105=AP39)*(DE$3:DE$105="L"))+SUMPRODUCT((DA$3:DA$105=AP41)*(DD$3:DD$105=AP40)*(DF$3:DF$105="L"))+SUMPRODUCT((DA$3:DA$105=AP38)*(DD$3:DD$105=AP40)*(DF$3:DF$105="L"))+SUMPRODUCT((DA$3:DA$105=AP39)*(DD$3:DD$105=AP40)*(DF$3:DF$105="L")),"")</f>
        <v/>
      </c>
      <c r="AT40" s="231">
        <f>SUMPRODUCT((DA$3:DA$105=AP40)*(DD$3:DD$105=AP41)*DB$3:DB$105)+SUMPRODUCT((DA$3:DA$105=AP40)*(DD$3:DD$105=AP37)*DB$3:DB$105)+SUMPRODUCT((DA$3:DA$105=AP40)*(DD$3:DD$105=AP38)*DB$3:DB$105)+SUMPRODUCT((DA$3:DA$105=AP40)*(DD$3:DD$105=AP39)*DB$3:DB$105)+SUMPRODUCT((DA$3:DA$105=AP41)*(DD$3:DD$105=AP40)*DC$3:DC$105)+SUMPRODUCT((DA$3:DA$105=AP37)*(DD$3:DD$105=AP40)*DC$3:DC$105)+SUMPRODUCT((DA$3:DA$105=AP38)*(DD$3:DD$105=AP40)*DC$3:DC$105)+SUMPRODUCT((DA$3:DA$105=AP39)*(DD$3:DD$105=AP40)*DC$3:DC$105)</f>
        <v>0</v>
      </c>
      <c r="AU40" s="231">
        <f>SUMPRODUCT((DA$3:DA$105=AP40)*(DD$3:DD$105=AP41)*DC$3:DC$105)+SUMPRODUCT((DA$3:DA$105=AP40)*(DD$3:DD$105=AP37)*DC$3:DC$105)+SUMPRODUCT((DA$3:DA$105=AP40)*(DD$3:DD$105=AP38)*DC$3:DC$105)+SUMPRODUCT((DA$3:DA$105=AP40)*(DD$3:DD$105=AP39)*DC$3:DC$105)+SUMPRODUCT((DA$3:DA$105=AP41)*(DD$3:DD$105=AP40)*DB$3:DB$105)+SUMPRODUCT((DA$3:DA$105=AP37)*(DD$3:DD$105=AP40)*DB$3:DB$105)+SUMPRODUCT((DA$3:DA$105=AP38)*(DD$3:DD$105=AP40)*DB$3:DB$105)+SUMPRODUCT((DA$3:DA$105=AP39)*(DD$3:DD$105=AP40)*DB$3:DB$105)</f>
        <v>0</v>
      </c>
      <c r="AV40" s="231">
        <f>AT40-AU40+1000</f>
        <v>1000</v>
      </c>
      <c r="AW40" s="231" t="str">
        <f t="shared" si="71"/>
        <v/>
      </c>
      <c r="AX40" s="231" t="str">
        <f>IF(AP40&lt;&gt;"",VLOOKUP(AP40,C$4:I$52,7,FALSE),"")</f>
        <v/>
      </c>
      <c r="AY40" s="231" t="str">
        <f>IF(AP40&lt;&gt;"",VLOOKUP(AP40,C$4:I$52,5,FALSE),"")</f>
        <v/>
      </c>
      <c r="AZ40" s="231" t="str">
        <f>IF(AP40&lt;&gt;"",VLOOKUP(AP40,C$4:K$52,9,FALSE),"")</f>
        <v/>
      </c>
      <c r="BA40" s="231" t="str">
        <f t="shared" si="72"/>
        <v/>
      </c>
      <c r="BB40" s="231" t="str">
        <f>IF(AP40&lt;&gt;"",RANK(BA40,BA37:BA40),"")</f>
        <v/>
      </c>
      <c r="BC40" s="231" t="str">
        <f>IF(AP40&lt;&gt;"",SUMPRODUCT((BA37:BA41=BA40)*(AV37:AV41&gt;AV40)),"")</f>
        <v/>
      </c>
      <c r="BD40" s="231" t="str">
        <f>IF(AP40&lt;&gt;"",SUMPRODUCT((BA37:BA41=BA40)*(AV37:AV41=AV40)*(AT37:AT41&gt;AT40)),"")</f>
        <v/>
      </c>
      <c r="BE40" s="231" t="str">
        <f>IF(AP40&lt;&gt;"",SUMPRODUCT((BA37:BA41=BA40)*(AV37:AV41=AV40)*(AT37:AT41=AT40)*(AX37:AX41&gt;AX40)),"")</f>
        <v/>
      </c>
      <c r="BF40" s="231" t="str">
        <f>IF(AP40&lt;&gt;"",SUMPRODUCT((BA37:BA41=BA40)*(AV37:AV41=AV40)*(AT37:AT41=AT40)*(AX37:AX41=AX40)*(AY37:AY41&gt;AY40)),"")</f>
        <v/>
      </c>
      <c r="BG40" s="231" t="str">
        <f>IF(AP40&lt;&gt;"",SUMPRODUCT((BA37:BA41=BA40)*(AV37:AV41=AV40)*(AT37:AT41=AT40)*(AX37:AX41=AX40)*(AY37:AY41=AY40)*(AZ37:AZ41&gt;AZ40)),"")</f>
        <v/>
      </c>
      <c r="BH40" s="231" t="str">
        <f>IF(AP40&lt;&gt;"",IF(BH119&lt;&gt;"",IF(AO115=3,BH119,BH119+AO115),SUM(BB40:BG40)+1),"")</f>
        <v/>
      </c>
      <c r="BI40" s="231" t="str">
        <f>IF(AP40&lt;&gt;"",INDEX(AP38:AP41,MATCH(4,BH38:BH41,0),0),"")</f>
        <v/>
      </c>
      <c r="BJ40" s="231" t="str">
        <f>IF(S38&lt;&gt;"",S38,"")</f>
        <v/>
      </c>
      <c r="BK40" s="231">
        <f>SUMPRODUCT((DA$3:DA$105=BJ40)*(DD$3:DD$105=BJ41)*(DE$3:DE$105="W"))+SUMPRODUCT((DA$3:DA$105=BJ40)*(DD$3:DD$105=BJ81)*(DE$3:DE$105="W"))+SUMPRODUCT((DA$3:DA$105=BJ40)*(DD$3:DD$105=BJ39)*(DE$3:DE$105="W"))+SUMPRODUCT((DA$3:DA$105=BJ41)*(DD$3:DD$105=BJ40)*(DF$3:DF$105="W"))+SUMPRODUCT((DA$3:DA$105=BJ81)*(DD$3:DD$105=BJ40)*(DF$3:DF$105="W"))+SUMPRODUCT((DA$3:DA$105=BJ39)*(DD$3:DD$105=BJ40)*(DF$3:DF$105="W"))</f>
        <v>0</v>
      </c>
      <c r="BL40" s="231">
        <f>SUMPRODUCT((DA$3:DA$105=BJ40)*(DD$3:DD$105=BJ41)*(DE$3:DE$105="D"))+SUMPRODUCT((DA$3:DA$105=BJ40)*(DD$3:DD$105=BJ81)*(DE$3:DE$105="D"))+SUMPRODUCT((DA$3:DA$105=BJ40)*(DD$3:DD$105=BJ39)*(DE$3:DE$105="D"))+SUMPRODUCT((DA$3:DA$105=BJ41)*(DD$3:DD$105=BJ40)*(DE$3:DE$105="D"))+SUMPRODUCT((DA$3:DA$105=BJ81)*(DD$3:DD$105=BJ40)*(DE$3:DE$105="D"))+SUMPRODUCT((DA$3:DA$105=BJ39)*(DD$3:DD$105=BJ40)*(DE$3:DE$105="D"))</f>
        <v>0</v>
      </c>
      <c r="BM40" s="231">
        <f>SUMPRODUCT((DA$3:DA$105=BJ40)*(DD$3:DD$105=BJ41)*(DE$3:DE$105="L"))+SUMPRODUCT((DA$3:DA$105=BJ40)*(DD$3:DD$105=BJ81)*(DE$3:DE$105="L"))+SUMPRODUCT((DA$3:DA$105=BJ40)*(DD$3:DD$105=BJ39)*(DE$3:DE$105="L"))+SUMPRODUCT((DA$3:DA$105=BJ41)*(DD$3:DD$105=BJ40)*(DF$3:DF$105="L"))+SUMPRODUCT((DA$3:DA$105=BJ81)*(DD$3:DD$105=BJ40)*(DF$3:DF$105="L"))+SUMPRODUCT((DA$3:DA$105=BJ39)*(DD$3:DD$105=BJ40)*(DF$3:DF$105="L"))</f>
        <v>0</v>
      </c>
      <c r="BN40" s="231">
        <f>SUMPRODUCT((DA$3:DA$105=BJ40)*(DD$3:DD$105=BJ41)*DB$3:DB$105)+SUMPRODUCT((DA$3:DA$105=BJ40)*(DD$3:DD$105=BJ37)*DB$3:DB$105)+SUMPRODUCT((DA$3:DA$105=BJ40)*(DD$3:DD$105=BJ38)*DB$3:DB$105)+SUMPRODUCT((DA$3:DA$105=BJ40)*(DD$3:DD$105=BJ39)*DB$3:DB$105)+SUMPRODUCT((DA$3:DA$105=BJ41)*(DD$3:DD$105=BJ40)*DC$3:DC$105)+SUMPRODUCT((DA$3:DA$105=BJ37)*(DD$3:DD$105=BJ40)*DC$3:DC$105)+SUMPRODUCT((DA$3:DA$105=BJ38)*(DD$3:DD$105=BJ40)*DC$3:DC$105)+SUMPRODUCT((DA$3:DA$105=BJ39)*(DD$3:DD$105=BJ40)*DC$3:DC$105)</f>
        <v>0</v>
      </c>
      <c r="BO40" s="231">
        <f>SUMPRODUCT((DA$3:DA$105=BJ40)*(DD$3:DD$105=BJ41)*DC$3:DC$105)+SUMPRODUCT((DA$3:DA$105=BJ40)*(DD$3:DD$105=BJ37)*DC$3:DC$105)+SUMPRODUCT((DA$3:DA$105=BJ40)*(DD$3:DD$105=BJ38)*DC$3:DC$105)+SUMPRODUCT((DA$3:DA$105=BJ40)*(DD$3:DD$105=BJ39)*DC$3:DC$105)+SUMPRODUCT((DA$3:DA$105=BJ41)*(DD$3:DD$105=BJ40)*DB$3:DB$105)+SUMPRODUCT((DA$3:DA$105=BJ37)*(DD$3:DD$105=BJ40)*DB$3:DB$105)+SUMPRODUCT((DA$3:DA$105=BJ38)*(DD$3:DD$105=BJ40)*DB$3:DB$105)+SUMPRODUCT((DA$3:DA$105=BJ39)*(DD$3:DD$105=BJ40)*DB$3:DB$105)</f>
        <v>0</v>
      </c>
      <c r="BP40" s="231">
        <f>BN40-BO40+1000</f>
        <v>1000</v>
      </c>
      <c r="BQ40" s="231" t="str">
        <f t="shared" si="73"/>
        <v/>
      </c>
      <c r="BR40" s="231" t="str">
        <f>IF(BJ40&lt;&gt;"",VLOOKUP(BJ40,C$4:I$52,7,FALSE),"")</f>
        <v/>
      </c>
      <c r="BS40" s="231" t="str">
        <f>IF(BJ40&lt;&gt;"",VLOOKUP(BJ40,C$4:I$52,5,FALSE),"")</f>
        <v/>
      </c>
      <c r="BT40" s="231" t="str">
        <f>IF(BJ40&lt;&gt;"",VLOOKUP(BJ40,C$4:K$52,9,FALSE),"")</f>
        <v/>
      </c>
      <c r="BU40" s="231" t="str">
        <f t="shared" si="74"/>
        <v/>
      </c>
      <c r="BV40" s="231" t="str">
        <f>IF(BJ40&lt;&gt;"",RANK(BU40,BU38:BU40),"")</f>
        <v/>
      </c>
      <c r="BW40" s="231" t="str">
        <f>IF(BJ40&lt;&gt;"",SUMPRODUCT((BU37:BU41=BU40)*(BP37:BP41&gt;BP40)),"")</f>
        <v/>
      </c>
      <c r="BX40" s="231" t="str">
        <f>IF(BJ40&lt;&gt;"",SUMPRODUCT((BU37:BU41=BU40)*(BP37:BP41=BP40)*(BN37:BN41&gt;BN40)),"")</f>
        <v/>
      </c>
      <c r="BY40" s="231" t="str">
        <f>IF(BJ40&lt;&gt;"",SUMPRODUCT((BU37:BU41=BU40)*(BP37:BP41=BP40)*(BN37:BN41=BN40)*(BR37:BR41&gt;BR40)),"")</f>
        <v/>
      </c>
      <c r="BZ40" s="231" t="str">
        <f>IF(BJ40&lt;&gt;"",SUMPRODUCT((BU37:BU41=BU40)*(BP37:BP41=BP40)*(BN37:BN41=BN40)*(BR37:BR41=BR40)*(BS37:BS41&gt;BS40)),"")</f>
        <v/>
      </c>
      <c r="CA40" s="231" t="str">
        <f>IF(BJ40&lt;&gt;"",SUMPRODUCT((BU37:BU41=BU40)*(BP37:BP41=BP40)*(BN37:BN41=BN40)*(BR37:BR41=BR40)*(BS37:BS41=BS40)*(BT37:BT41&gt;BT40)),"")</f>
        <v/>
      </c>
      <c r="CB40" s="231" t="str">
        <f>IF(BJ40&lt;&gt;"",SUM(BV40:CA40)+2,"")</f>
        <v/>
      </c>
      <c r="CC40" s="231" t="str">
        <f>IF(BJ40&lt;&gt;"",INDEX(BJ39:BJ41,MATCH(4,CB39:CB41,0),0),"")</f>
        <v/>
      </c>
      <c r="CD40" s="231" t="str">
        <f>IF(T37&lt;&gt;"",T37,"")</f>
        <v/>
      </c>
      <c r="CE40" s="231">
        <f>SUMPRODUCT((DA$3:DA$105=CD40)*(DD$3:DD$105=CD41)*(DE$3:DE$105="W"))+SUMPRODUCT((DA$3:DA$105=CD40)*(DD$3:DD$105=CD81)*(DE$3:DE$105="W"))+SUMPRODUCT((DA$3:DA$105=CD40)*(DD$3:DD$105=CD82)*(DE$3:DE$105="W"))+SUMPRODUCT((DA$3:DA$105=CD41)*(DD$3:DD$105=CD40)*(DF$3:DF$105="W"))+SUMPRODUCT((DA$3:DA$105=CD81)*(DD$3:DD$105=CD40)*(DF$3:DF$105="W"))+SUMPRODUCT((DA$3:DA$105=CD82)*(DD$3:DD$105=CD40)*(DF$3:DF$105="W"))</f>
        <v>0</v>
      </c>
      <c r="CF40" s="231">
        <f>SUMPRODUCT((DA$3:DA$105=CD40)*(DD$3:DD$105=CD41)*(DE$3:DE$105="D"))+SUMPRODUCT((DA$3:DA$105=CD40)*(DD$3:DD$105=CD81)*(DE$3:DE$105="D"))+SUMPRODUCT((DA$3:DA$105=CD40)*(DD$3:DD$105=CD82)*(DE$3:DE$105="D"))+SUMPRODUCT((DA$3:DA$105=CD41)*(DD$3:DD$105=CD40)*(DE$3:DE$105="D"))+SUMPRODUCT((DA$3:DA$105=CD81)*(DD$3:DD$105=CD40)*(DE$3:DE$105="D"))+SUMPRODUCT((DA$3:DA$105=CD82)*(DD$3:DD$105=CD40)*(DE$3:DE$105="D"))</f>
        <v>0</v>
      </c>
      <c r="CG40" s="231">
        <f>SUMPRODUCT((DA$3:DA$105=CD40)*(DD$3:DD$105=CD41)*(DE$3:DE$105="L"))+SUMPRODUCT((DA$3:DA$105=CD40)*(DD$3:DD$105=CD81)*(DE$3:DE$105="L"))+SUMPRODUCT((DA$3:DA$105=CD40)*(DD$3:DD$105=CD82)*(DE$3:DE$105="L"))+SUMPRODUCT((DA$3:DA$105=CD41)*(DD$3:DD$105=CD40)*(DF$3:DF$105="L"))+SUMPRODUCT((DA$3:DA$105=CD81)*(DD$3:DD$105=CD40)*(DF$3:DF$105="L"))+SUMPRODUCT((DA$3:DA$105=CD82)*(DD$3:DD$105=CD40)*(DF$3:DF$105="L"))</f>
        <v>0</v>
      </c>
      <c r="CH40" s="231">
        <f>SUMPRODUCT((DA$3:DA$105=CD40)*(DD$3:DD$105=CD41)*DB$3:DB$105)+SUMPRODUCT((DA$3:DA$105=CD40)*(DD$3:DD$105=CD37)*DB$3:DB$105)+SUMPRODUCT((DA$3:DA$105=CD40)*(DD$3:DD$105=CD38)*DB$3:DB$105)+SUMPRODUCT((DA$3:DA$105=CD40)*(DD$3:DD$105=CD39)*DB$3:DB$105)+SUMPRODUCT((DA$3:DA$105=CD41)*(DD$3:DD$105=CD40)*DC$3:DC$105)+SUMPRODUCT((DA$3:DA$105=CD37)*(DD$3:DD$105=CD40)*DC$3:DC$105)+SUMPRODUCT((DA$3:DA$105=CD38)*(DD$3:DD$105=CD40)*DC$3:DC$105)+SUMPRODUCT((DA$3:DA$105=CD39)*(DD$3:DD$105=CD40)*DC$3:DC$105)</f>
        <v>0</v>
      </c>
      <c r="CI40" s="231">
        <f>SUMPRODUCT((DA$3:DA$105=CD40)*(DD$3:DD$105=CD41)*DC$3:DC$105)+SUMPRODUCT((DA$3:DA$105=CD40)*(DD$3:DD$105=CD37)*DC$3:DC$105)+SUMPRODUCT((DA$3:DA$105=CD40)*(DD$3:DD$105=CD38)*DC$3:DC$105)+SUMPRODUCT((DA$3:DA$105=CD40)*(DD$3:DD$105=CD39)*DC$3:DC$105)+SUMPRODUCT((DA$3:DA$105=CD41)*(DD$3:DD$105=CD40)*DB$3:DB$105)+SUMPRODUCT((DA$3:DA$105=CD37)*(DD$3:DD$105=CD40)*DB$3:DB$105)+SUMPRODUCT((DA$3:DA$105=CD38)*(DD$3:DD$105=CD40)*DB$3:DB$105)+SUMPRODUCT((DA$3:DA$105=CD39)*(DD$3:DD$105=CD40)*DB$3:DB$105)</f>
        <v>0</v>
      </c>
      <c r="CJ40" s="231">
        <f>CH40-CI40+1000</f>
        <v>1000</v>
      </c>
      <c r="CK40" s="231" t="str">
        <f t="shared" ref="CK40" si="76">IF(CD40&lt;&gt;"",CE40*3+CF40*1,"")</f>
        <v/>
      </c>
      <c r="CL40" s="231" t="str">
        <f>IF(CD40&lt;&gt;"",VLOOKUP(CD40,C$4:I$52,7,FALSE),"")</f>
        <v/>
      </c>
      <c r="CM40" s="231" t="str">
        <f>IF(CD40&lt;&gt;"",VLOOKUP(CD40,C$4:I$52,5,FALSE),"")</f>
        <v/>
      </c>
      <c r="CN40" s="231" t="str">
        <f>IF(CD40&lt;&gt;"",VLOOKUP(CD40,C$4:K$52,9,FALSE),"")</f>
        <v/>
      </c>
      <c r="CO40" s="231" t="str">
        <f t="shared" ref="CO40" si="77">CK40</f>
        <v/>
      </c>
      <c r="CP40" s="231" t="str">
        <f>IF(CD40&lt;&gt;"",RANK(CO40,AG37:AG41),"")</f>
        <v/>
      </c>
      <c r="CQ40" s="231" t="str">
        <f>IF(CD40&lt;&gt;"",SUMPRODUCT((CO37:CO41=CO40)*(CJ37:CJ41&gt;CJ40)),"")</f>
        <v/>
      </c>
      <c r="CR40" s="231" t="str">
        <f>IF(CD40&lt;&gt;"",SUMPRODUCT((CO37:CO41=CO40)*(CJ37:CJ41=CJ40)*(CH37:CH41&gt;CH40)),"")</f>
        <v/>
      </c>
      <c r="CS40" s="231" t="str">
        <f>IF(CD40&lt;&gt;"",SUMPRODUCT((CO37:CO41=CO40)*(CJ37:CJ41=CJ40)*(CH37:CH41=CH40)*(CL37:CL41&gt;CL40)),"")</f>
        <v/>
      </c>
      <c r="CT40" s="231" t="str">
        <f>IF(CD40&lt;&gt;"",SUMPRODUCT((CO37:CO41=CO40)*(CJ37:CJ41=CJ40)*(CH37:CH41=CH40)*(CL37:CL41=CL40)*(CM37:CM41&gt;CM40)),"")</f>
        <v/>
      </c>
      <c r="CU40" s="231" t="str">
        <f>IF(CD40&lt;&gt;"",SUMPRODUCT((CO37:CO41=CO40)*(CJ37:CJ41=CJ40)*(CH37:CH41=CH40)*(CL37:CL41=CL40)*(CM37:CM41=CM40)*(CN37:CN41&gt;CN40)),"")</f>
        <v/>
      </c>
      <c r="CV40" s="231" t="str">
        <f>IF(CD40&lt;&gt;"",SUM(CP40:CU40)+3,"")</f>
        <v/>
      </c>
      <c r="CW40" s="231" t="str">
        <f>IF(CD40&lt;&gt;"",IF(CV40=4,CD40,CD41),"")</f>
        <v/>
      </c>
      <c r="CX40" s="231" t="str">
        <f>IF(CW40&lt;&gt;"",CW40,IF(CC40&lt;&gt;"",CC40,IF(BI40&lt;&gt;"",BI40,IF(AO40&lt;&gt;"",AO40,O40))))</f>
        <v>Tunisia</v>
      </c>
      <c r="CY40" s="231">
        <v>4</v>
      </c>
      <c r="DA40" s="234" t="str">
        <f>Matches!H41</f>
        <v>Spain</v>
      </c>
      <c r="DB40" s="234">
        <f>IF($DA$2&lt;&gt;"",IF(AND(Matches!J41&lt;&gt;"",Matches!K41&lt;&gt;""),Matches!J41,0),"")</f>
        <v>0</v>
      </c>
      <c r="DC40" s="234">
        <f>IF($DA$2&lt;&gt;"",IF(AND(Matches!J41&lt;&gt;"",Matches!K41&lt;&gt;""),Matches!K41,0),"")</f>
        <v>0</v>
      </c>
      <c r="DD40" s="234" t="str">
        <f>Matches!M41</f>
        <v>Saudi Arabia</v>
      </c>
      <c r="DE40" s="234" t="str">
        <f>IF(AND(Matches!J41&lt;&gt;"",Matches!K41&lt;&gt;""),IF(DB40&gt;DC40,"W",IF(DB40=DC40,"D","L")),"")</f>
        <v/>
      </c>
      <c r="DF40" s="231" t="str">
        <f t="shared" si="0"/>
        <v/>
      </c>
      <c r="DQ40" s="238"/>
      <c r="DR40" s="239"/>
      <c r="DS40" s="240" t="str">
        <f t="shared" si="16"/>
        <v>Senegal</v>
      </c>
      <c r="DT40" s="241" t="s">
        <v>667</v>
      </c>
      <c r="DU40" s="240"/>
      <c r="DW40" s="242" t="s">
        <v>92</v>
      </c>
      <c r="DX40" s="230"/>
      <c r="DY40" s="243">
        <v>34</v>
      </c>
      <c r="DZ40" s="244">
        <f t="shared" si="14"/>
        <v>46193.833333333336</v>
      </c>
      <c r="EA40" s="247">
        <v>46193.833333333336</v>
      </c>
      <c r="EB40" s="246">
        <f t="shared" si="75"/>
        <v>46193.833333333336</v>
      </c>
      <c r="EC40" s="247"/>
      <c r="EE40" s="233" t="str">
        <f>INDEX(Language!$A$1:$K$177,MATCH(Setup!B41,Language!$B$1:$B$177,0),MATCH(Setup!$C$5,Language!$A$1:$J$1,0))</f>
        <v>Senegal</v>
      </c>
    </row>
    <row r="41" spans="1:135" ht="13.5" customHeight="1" x14ac:dyDescent="0.25">
      <c r="DA41" s="234" t="str">
        <f>Matches!H42</f>
        <v>Belgium</v>
      </c>
      <c r="DB41" s="234">
        <f>IF($DA$2&lt;&gt;"",IF(AND(Matches!J42&lt;&gt;"",Matches!K42&lt;&gt;""),Matches!J42,0),"")</f>
        <v>0</v>
      </c>
      <c r="DC41" s="234">
        <f>IF($DA$2&lt;&gt;"",IF(AND(Matches!J42&lt;&gt;"",Matches!K42&lt;&gt;""),Matches!K42,0),"")</f>
        <v>0</v>
      </c>
      <c r="DD41" s="234" t="str">
        <f>Matches!M42</f>
        <v>Iran</v>
      </c>
      <c r="DE41" s="234" t="str">
        <f>IF(AND(Matches!J42&lt;&gt;"",Matches!K42&lt;&gt;""),IF(DB41&gt;DC41,"W",IF(DB41=DC41,"D","L")),"")</f>
        <v/>
      </c>
      <c r="DF41" s="231" t="str">
        <f t="shared" si="0"/>
        <v/>
      </c>
      <c r="DQ41" s="238"/>
      <c r="DR41" s="239"/>
      <c r="DS41" s="240" t="str">
        <f t="shared" si="16"/>
        <v>Iraq</v>
      </c>
      <c r="DT41" s="241" t="s">
        <v>668</v>
      </c>
      <c r="DU41" s="240"/>
      <c r="DW41" s="242" t="s">
        <v>93</v>
      </c>
      <c r="DX41" s="230"/>
      <c r="DY41" s="243">
        <v>35</v>
      </c>
      <c r="DZ41" s="244">
        <f t="shared" si="14"/>
        <v>46193.541666666664</v>
      </c>
      <c r="EA41" s="247">
        <v>46193.541666666664</v>
      </c>
      <c r="EB41" s="246">
        <f t="shared" si="75"/>
        <v>46193.541666666664</v>
      </c>
      <c r="EC41" s="247"/>
      <c r="EE41" s="233" t="str">
        <f>INDEX(Language!$A$1:$K$177,MATCH(Setup!B42,Language!$B$1:$B$177,0),MATCH(Setup!$C$5,Language!$A$1:$J$1,0))</f>
        <v>Iraq</v>
      </c>
    </row>
    <row r="42" spans="1:135" ht="13.5" customHeight="1" x14ac:dyDescent="0.25">
      <c r="DA42" s="234" t="str">
        <f>Matches!H43</f>
        <v>New Zealand</v>
      </c>
      <c r="DB42" s="234">
        <f>IF($DA$2&lt;&gt;"",IF(AND(Matches!J43&lt;&gt;"",Matches!K43&lt;&gt;""),Matches!J43,0),"")</f>
        <v>0</v>
      </c>
      <c r="DC42" s="234">
        <f>IF($DA$2&lt;&gt;"",IF(AND(Matches!J43&lt;&gt;"",Matches!K43&lt;&gt;""),Matches!K43,0),"")</f>
        <v>0</v>
      </c>
      <c r="DD42" s="234" t="str">
        <f>Matches!M43</f>
        <v>Egypt</v>
      </c>
      <c r="DE42" s="234" t="str">
        <f>IF(AND(Matches!J43&lt;&gt;"",Matches!K43&lt;&gt;""),IF(DB42&gt;DC42,"W",IF(DB42=DC42,"D","L")),"")</f>
        <v/>
      </c>
      <c r="DF42" s="231" t="str">
        <f t="shared" si="0"/>
        <v/>
      </c>
      <c r="DQ42" s="238"/>
      <c r="DR42" s="239"/>
      <c r="DS42" s="240" t="str">
        <f t="shared" si="16"/>
        <v>Norway</v>
      </c>
      <c r="DT42" s="241" t="s">
        <v>669</v>
      </c>
      <c r="DU42" s="240"/>
      <c r="DW42" s="242" t="s">
        <v>94</v>
      </c>
      <c r="DX42" s="230"/>
      <c r="DY42" s="243">
        <v>36</v>
      </c>
      <c r="DZ42" s="244">
        <f t="shared" si="14"/>
        <v>46193</v>
      </c>
      <c r="EA42" s="247">
        <v>46193</v>
      </c>
      <c r="EB42" s="246">
        <f t="shared" si="75"/>
        <v>46193</v>
      </c>
      <c r="EC42" s="247"/>
      <c r="EE42" s="233" t="str">
        <f>INDEX(Language!$A$1:$K$177,MATCH(Setup!B43,Language!$B$1:$B$177,0),MATCH(Setup!$C$5,Language!$A$1:$J$1,0))</f>
        <v>Norway</v>
      </c>
    </row>
    <row r="43" spans="1:135" ht="13.5" customHeight="1" x14ac:dyDescent="0.25">
      <c r="A43" s="230">
        <f>Setup!F32+100</f>
        <v>109</v>
      </c>
      <c r="B43" s="231">
        <f>VLOOKUP(C43,CX$43:CY$46,2,FALSE)</f>
        <v>1</v>
      </c>
      <c r="C43" s="232" t="str">
        <f>EE31</f>
        <v>Belgium</v>
      </c>
      <c r="D43" s="231">
        <f>SUMPRODUCT((DA$3:DA$105=C43)*(DE$3:DE$105="W"))+SUMPRODUCT((DD$3:DD$105=C43)*(DF$3:DF$105="W"))</f>
        <v>0</v>
      </c>
      <c r="E43" s="231">
        <f>SUMPRODUCT((DA$3:DA$105=C43)*(DE$3:DE$105="D"))+SUMPRODUCT((DD$3:DD$105=C43)*(DF$3:DF$105="D"))</f>
        <v>0</v>
      </c>
      <c r="F43" s="231">
        <f>SUMPRODUCT((DA$3:DA$105=C43)*(DE$3:DE$105="L"))+SUMPRODUCT((DD$3:DD$105=C43)*(DF$3:DF$105="L"))</f>
        <v>0</v>
      </c>
      <c r="G43" s="231">
        <f>SUMIF(DA$3:DA$123,C43,DB$3:DB$123)+SUMIF(DD$3:DD$123,C43,DC$3:DC$123)</f>
        <v>0</v>
      </c>
      <c r="H43" s="231">
        <f>SUMIF(DD$3:DD$123,C43,DB$3:DB$123)+SUMIF(DA$3:DA$123,C43,DC$3:DC$123)</f>
        <v>0</v>
      </c>
      <c r="I43" s="231">
        <f t="shared" ref="I43:I46" si="78">G43-H43+1000</f>
        <v>1000</v>
      </c>
      <c r="J43" s="231">
        <f t="shared" ref="J43:J46" si="79">D43*3+E43*1</f>
        <v>0</v>
      </c>
      <c r="K43" s="231">
        <f>IF(Setup!G32&lt;&gt;"",Setup!G32,-A43)</f>
        <v>-109</v>
      </c>
      <c r="L43" s="231">
        <f>IF(COUNTIF(J$43:J$46,4)&lt;&gt;4,RANK(J43,J$43:J$46),J122)</f>
        <v>1</v>
      </c>
      <c r="N43" s="231">
        <f>SUMPRODUCT((L$43:L$46=L43)*(K$43:K$46&lt;K43))+L43</f>
        <v>4</v>
      </c>
      <c r="O43" s="232" t="str">
        <f>INDEX(C$43:C$47,MATCH(1,N$43:N$47,0),0)</f>
        <v>New Zealand</v>
      </c>
      <c r="P43" s="231">
        <f>INDEX(L$43:L$47,MATCH(O43,C$43:C$47,0),0)</f>
        <v>1</v>
      </c>
      <c r="Q43" s="231" t="str">
        <f>IF(P44=1,O43,"")</f>
        <v>New Zealand</v>
      </c>
      <c r="R43" s="231" t="str">
        <f>IF(P45=2,O44,"")</f>
        <v/>
      </c>
      <c r="S43" s="231" t="str">
        <f>IF(P46=3,O45,"")</f>
        <v/>
      </c>
      <c r="T43" s="231" t="str">
        <f>IF(P47=4,O46,"")</f>
        <v/>
      </c>
      <c r="V43" s="231" t="str">
        <f>IF(Q43&lt;&gt;"",Q43,"")</f>
        <v>New Zealand</v>
      </c>
      <c r="W43" s="231">
        <f>SUMPRODUCT((DA$3:DA$105=V43)*(DD$3:DD$105=V44)*(DE$3:DE$105="W"))+SUMPRODUCT((DA$3:DA$105=V43)*(DD$3:DD$105=V45)*(DE$3:DE$105="W"))+SUMPRODUCT((DA$3:DA$105=V43)*(DD$3:DD$105=V46)*(DE$3:DE$105="W"))+SUMPRODUCT((DA$3:DA$105=V43)*(DD$3:DD$105=V47)*(DE$3:DE$105="W"))+SUMPRODUCT((DA$3:DA$105=V44)*(DD$3:DD$105=V43)*(DF$3:DF$105="W"))+SUMPRODUCT((DA$3:DA$105=V45)*(DD$3:DD$105=V43)*(DF$3:DF$105="W"))+SUMPRODUCT((DA$3:DA$105=V46)*(DD$3:DD$105=V43)*(DF$3:DF$105="W"))+SUMPRODUCT((DA$3:DA$105=V47)*(DD$3:DD$105=V43)*(DF$3:DF$105="W"))</f>
        <v>0</v>
      </c>
      <c r="X43" s="231">
        <f>SUMPRODUCT((DA$3:DA$105=V43)*(DD$3:DD$105=V44)*(DE$3:DE$105="D"))+SUMPRODUCT((DA$3:DA$105=V43)*(DD$3:DD$105=V45)*(DE$3:DE$105="D"))+SUMPRODUCT((DA$3:DA$105=V43)*(DD$3:DD$105=V46)*(DE$3:DE$105="D"))+SUMPRODUCT((DA$3:DA$105=V43)*(DD$3:DD$105=V47)*(DE$3:DE$105="D"))+SUMPRODUCT((DA$3:DA$105=V44)*(DD$3:DD$105=V43)*(DE$3:DE$105="D"))+SUMPRODUCT((DA$3:DA$105=V45)*(DD$3:DD$105=V43)*(DE$3:DE$105="D"))+SUMPRODUCT((DA$3:DA$105=V46)*(DD$3:DD$105=V43)*(DE$3:DE$105="D"))+SUMPRODUCT((DA$3:DA$105=V47)*(DD$3:DD$105=V43)*(DE$3:DE$105="D"))</f>
        <v>0</v>
      </c>
      <c r="Y43" s="231">
        <f>SUMPRODUCT((DA$3:DA$105=V43)*(DD$3:DD$105=V44)*(DE$3:DE$105="L"))+SUMPRODUCT((DA$3:DA$105=V43)*(DD$3:DD$105=V45)*(DE$3:DE$105="L"))+SUMPRODUCT((DA$3:DA$105=V43)*(DD$3:DD$105=V46)*(DE$3:DE$105="L"))+SUMPRODUCT((DA$3:DA$105=V43)*(DD$3:DD$105=V47)*(DE$3:DE$105="L"))+SUMPRODUCT((DA$3:DA$105=V44)*(DD$3:DD$105=V43)*(DF$3:DF$105="L"))+SUMPRODUCT((DA$3:DA$105=V45)*(DD$3:DD$105=V43)*(DF$3:DF$105="L"))+SUMPRODUCT((DA$3:DA$105=V46)*(DD$3:DD$105=V43)*(DF$3:DF$105="L"))+SUMPRODUCT((DA$3:DA$105=V47)*(DD$3:DD$105=V43)*(DF$3:DF$105="L"))</f>
        <v>0</v>
      </c>
      <c r="Z43" s="231">
        <f>SUMPRODUCT((DA$3:DA$105=V43)*(DD$3:DD$105=V44)*DB$3:DB$105)+SUMPRODUCT((DA$3:DA$105=V43)*(DD$3:DD$105=V45)*DB$3:DB$105)+SUMPRODUCT((DA$3:DA$105=V43)*(DD$3:DD$105=V46)*DB$3:DB$105)+SUMPRODUCT((DA$3:DA$105=V43)*(DD$3:DD$105=V47)*DB$3:DB$105)+SUMPRODUCT((DA$3:DA$105=V44)*(DD$3:DD$105=V43)*DC$3:DC$105)+SUMPRODUCT((DA$3:DA$105=V45)*(DD$3:DD$105=V43)*DC$3:DC$105)+SUMPRODUCT((DA$3:DA$105=V46)*(DD$3:DD$105=V43)*DC$3:DC$105)+SUMPRODUCT((DA$3:DA$105=V47)*(DD$3:DD$105=V43)*DC$3:DC$105)</f>
        <v>0</v>
      </c>
      <c r="AA43" s="231">
        <f>SUMPRODUCT((DA$3:DA$105=V43)*(DD$3:DD$105=V44)*DC$3:DC$105)+SUMPRODUCT((DA$3:DA$105=V43)*(DD$3:DD$105=V45)*DC$3:DC$105)+SUMPRODUCT((DA$3:DA$105=V43)*(DD$3:DD$105=V46)*DC$3:DC$105)+SUMPRODUCT((DA$3:DA$105=V43)*(DD$3:DD$105=V47)*DC$3:DC$105)+SUMPRODUCT((DA$3:DA$105=V44)*(DD$3:DD$105=V43)*DB$3:DB$105)+SUMPRODUCT((DA$3:DA$105=V45)*(DD$3:DD$105=V43)*DB$3:DB$105)+SUMPRODUCT((DA$3:DA$105=V46)*(DD$3:DD$105=V43)*DB$3:DB$105)+SUMPRODUCT((DA$3:DA$105=V47)*(DD$3:DD$105=V43)*DB$3:DB$105)</f>
        <v>0</v>
      </c>
      <c r="AB43" s="231">
        <f>Z43-AA43+1000</f>
        <v>1000</v>
      </c>
      <c r="AC43" s="231">
        <f t="shared" ref="AC43:AC46" si="80">IF(V43&lt;&gt;"",W43*3+X43*1,"")</f>
        <v>0</v>
      </c>
      <c r="AD43" s="231">
        <f>IF(V43&lt;&gt;"",VLOOKUP(V43,C$4:I$52,7,FALSE),"")</f>
        <v>1000</v>
      </c>
      <c r="AE43" s="231">
        <f>IF(V43&lt;&gt;"",VLOOKUP(V43,C$4:I$52,5,FALSE),"")</f>
        <v>0</v>
      </c>
      <c r="AF43" s="231">
        <f>IF(V43&lt;&gt;"",VLOOKUP(V43,C$4:K$52,9,FALSE),"")</f>
        <v>-185</v>
      </c>
      <c r="AG43" s="231">
        <f t="shared" ref="AG43:AG46" si="81">AC43</f>
        <v>0</v>
      </c>
      <c r="AH43" s="231">
        <f>IF(V43&lt;&gt;"",RANK(AG43,AG$43:AG$47),"")</f>
        <v>1</v>
      </c>
      <c r="AI43" s="231">
        <f>IF(V43&lt;&gt;"",SUMPRODUCT((AG$43:AG$47=AG43)*(AB$43:AB$47&gt;AB43)),"")</f>
        <v>0</v>
      </c>
      <c r="AJ43" s="231">
        <f>IF(V43&lt;&gt;"",SUMPRODUCT((AG$43:AG$47=AG43)*(AB$43:AB$47=AB43)*(Z$43:Z$47&gt;Z43)),"")</f>
        <v>0</v>
      </c>
      <c r="AK43" s="231">
        <f>IF(V43&lt;&gt;"",SUMPRODUCT((AG$43:AG$47=AG43)*(AB$43:AB$47=AB43)*(Z$43:Z$47=Z43)*(AD$43:AD$47&gt;AD43)),"")</f>
        <v>0</v>
      </c>
      <c r="AL43" s="231">
        <f>IF(V43&lt;&gt;"",SUMPRODUCT((AG$43:AG$47=AG43)*(AB$43:AB$47=AB43)*(Z$43:Z$47=Z43)*(AD$43:AD$47=AD43)*(AE$43:AE$47&gt;AE43)),"")</f>
        <v>0</v>
      </c>
      <c r="AM43" s="231">
        <f>IF(V43&lt;&gt;"",SUMPRODUCT((AG$43:AG$47=AG43)*(AB$43:AB$47=AB43)*(Z$43:Z$47=Z43)*(AD$43:AD$47=AD43)*(AE$43:AE$47=AE43)*(AF$43:AF$47&gt;AF43)),"")</f>
        <v>3</v>
      </c>
      <c r="AN43" s="231">
        <f>IF(V43&lt;&gt;"",IF(AN122&lt;&gt;"",IF(U121=3,AN122,AN122+U121),SUM(AH43:AM43)),"")</f>
        <v>4</v>
      </c>
      <c r="AO43" s="231" t="str">
        <f>IF(V43&lt;&gt;"",INDEX(V$43:V$47,MATCH(1,AN$43:AN$47,0),0),"")</f>
        <v>Belgium</v>
      </c>
      <c r="CX43" s="231" t="str">
        <f>IF(AO43&lt;&gt;"",AO43,O43)</f>
        <v>Belgium</v>
      </c>
      <c r="CY43" s="231">
        <v>1</v>
      </c>
      <c r="DA43" s="234" t="str">
        <f>Matches!H44</f>
        <v>Norway</v>
      </c>
      <c r="DB43" s="234">
        <f>IF($DA$2&lt;&gt;"",IF(AND(Matches!J44&lt;&gt;"",Matches!K44&lt;&gt;""),Matches!J44,0),"")</f>
        <v>0</v>
      </c>
      <c r="DC43" s="234">
        <f>IF($DA$2&lt;&gt;"",IF(AND(Matches!J44&lt;&gt;"",Matches!K44&lt;&gt;""),Matches!K44,0),"")</f>
        <v>0</v>
      </c>
      <c r="DD43" s="234" t="str">
        <f>Matches!M44</f>
        <v>Senegal</v>
      </c>
      <c r="DE43" s="234" t="str">
        <f>IF(AND(Matches!J44&lt;&gt;"",Matches!K44&lt;&gt;""),IF(DB43&gt;DC43,"W",IF(DB43=DC43,"D","L")),"")</f>
        <v/>
      </c>
      <c r="DF43" s="231" t="str">
        <f t="shared" si="0"/>
        <v/>
      </c>
      <c r="DQ43" s="238" t="s">
        <v>516</v>
      </c>
      <c r="DR43" s="239"/>
      <c r="DS43" s="240" t="str">
        <f t="shared" si="16"/>
        <v>Argentina</v>
      </c>
      <c r="DT43" s="241" t="s">
        <v>670</v>
      </c>
      <c r="DU43" s="240"/>
      <c r="DW43" s="242" t="s">
        <v>95</v>
      </c>
      <c r="DX43" s="230"/>
      <c r="DY43" s="243">
        <v>37</v>
      </c>
      <c r="DZ43" s="244">
        <f t="shared" si="14"/>
        <v>46194.75</v>
      </c>
      <c r="EA43" s="247">
        <v>46194.75</v>
      </c>
      <c r="EB43" s="246">
        <f t="shared" si="75"/>
        <v>46194.75</v>
      </c>
      <c r="EC43" s="247"/>
      <c r="ED43" s="233">
        <f>SUM(Matches!S41:S44)</f>
        <v>10</v>
      </c>
      <c r="EE43" s="233" t="str">
        <f>INDEX(Language!$A$1:$K$177,MATCH(Setup!B44,Language!$B$1:$B$177,0),MATCH(Setup!$C$5,Language!$A$1:$J$1,0))</f>
        <v>Argentina</v>
      </c>
    </row>
    <row r="44" spans="1:135" ht="13.5" customHeight="1" x14ac:dyDescent="0.25">
      <c r="A44" s="230">
        <f>Setup!F33+100</f>
        <v>131</v>
      </c>
      <c r="B44" s="231">
        <f>VLOOKUP(C44,CX$43:CY$46,2,FALSE)</f>
        <v>3</v>
      </c>
      <c r="C44" s="232" t="str">
        <f t="shared" ref="C44:C46" si="82">EE32</f>
        <v>Egypt</v>
      </c>
      <c r="D44" s="231">
        <f>SUMPRODUCT((DA$3:DA$105=C44)*(DE$3:DE$105="W"))+SUMPRODUCT((DD$3:DD$105=C44)*(DF$3:DF$105="W"))</f>
        <v>0</v>
      </c>
      <c r="E44" s="231">
        <f>SUMPRODUCT((DA$3:DA$105=C44)*(DE$3:DE$105="D"))+SUMPRODUCT((DD$3:DD$105=C44)*(DF$3:DF$105="D"))</f>
        <v>0</v>
      </c>
      <c r="F44" s="231">
        <f>SUMPRODUCT((DA$3:DA$105=C44)*(DE$3:DE$105="L"))+SUMPRODUCT((DD$3:DD$105=C44)*(DF$3:DF$105="L"))</f>
        <v>0</v>
      </c>
      <c r="G44" s="231">
        <f>SUMIF(DA$3:DA$123,C44,DB$3:DB$123)+SUMIF(DD$3:DD$123,C44,DC$3:DC$123)</f>
        <v>0</v>
      </c>
      <c r="H44" s="231">
        <f>SUMIF(DD$3:DD$123,C44,DB$3:DB$123)+SUMIF(DA$3:DA$123,C44,DC$3:DC$123)</f>
        <v>0</v>
      </c>
      <c r="I44" s="231">
        <f t="shared" si="78"/>
        <v>1000</v>
      </c>
      <c r="J44" s="231">
        <f t="shared" si="79"/>
        <v>0</v>
      </c>
      <c r="K44" s="231">
        <f>IF(Setup!G33&lt;&gt;"",Setup!G33,-A44)</f>
        <v>-131</v>
      </c>
      <c r="L44" s="231">
        <f>IF(COUNTIF(J$43:J$46,4)&lt;&gt;4,RANK(J44,J$43:J$46),J123)</f>
        <v>1</v>
      </c>
      <c r="N44" s="231">
        <f>SUMPRODUCT((L$43:L$46=L44)*(K$43:K$46&lt;K44))+L44</f>
        <v>2</v>
      </c>
      <c r="O44" s="232" t="str">
        <f>IF(Matches!S108="© 2025 | journalSHEET.com",INDEX(C$43:C$47,MATCH(2,N$43:N$47,0),0),"Egypt")</f>
        <v>Egypt</v>
      </c>
      <c r="P44" s="231">
        <f>INDEX(L$43:L$47,MATCH(O44,C$43:C$47,0),0)</f>
        <v>1</v>
      </c>
      <c r="Q44" s="231" t="str">
        <f>IF(Q43&lt;&gt;"",O44,"")</f>
        <v>Egypt</v>
      </c>
      <c r="R44" s="231" t="str">
        <f>IF(R43&lt;&gt;"",O45,"")</f>
        <v/>
      </c>
      <c r="S44" s="231" t="str">
        <f>IF(S43&lt;&gt;"",O46,"")</f>
        <v/>
      </c>
      <c r="T44" s="231" t="str">
        <f>IF(T43&lt;&gt;"",O47,"")</f>
        <v/>
      </c>
      <c r="V44" s="231" t="str">
        <f t="shared" ref="V44:V46" si="83">IF(Q44&lt;&gt;"",Q44,"")</f>
        <v>Egypt</v>
      </c>
      <c r="W44" s="231">
        <f>SUMPRODUCT((DA$3:DA$105=V44)*(DD$3:DD$105=V45)*(DE$3:DE$105="W"))+SUMPRODUCT((DA$3:DA$105=V44)*(DD$3:DD$105=V46)*(DE$3:DE$105="W"))+SUMPRODUCT((DA$3:DA$105=V44)*(DD$3:DD$105=V47)*(DE$3:DE$105="W"))+SUMPRODUCT((DA$3:DA$105=V44)*(DD$3:DD$105=V43)*(DE$3:DE$105="W"))+SUMPRODUCT((DA$3:DA$105=V45)*(DD$3:DD$105=V44)*(DF$3:DF$105="W"))+SUMPRODUCT((DA$3:DA$105=V46)*(DD$3:DD$105=V44)*(DF$3:DF$105="W"))+SUMPRODUCT((DA$3:DA$105=V47)*(DD$3:DD$105=V44)*(DF$3:DF$105="W"))+SUMPRODUCT((DA$3:DA$105=V43)*(DD$3:DD$105=V44)*(DF$3:DF$105="W"))</f>
        <v>0</v>
      </c>
      <c r="X44" s="231">
        <f>SUMPRODUCT((DA$3:DA$105=V44)*(DD$3:DD$105=V45)*(DE$3:DE$105="D"))+SUMPRODUCT((DA$3:DA$105=V44)*(DD$3:DD$105=V46)*(DE$3:DE$105="D"))+SUMPRODUCT((DA$3:DA$105=V44)*(DD$3:DD$105=V47)*(DE$3:DE$105="D"))+SUMPRODUCT((DA$3:DA$105=V44)*(DD$3:DD$105=V43)*(DE$3:DE$105="D"))+SUMPRODUCT((DA$3:DA$105=V45)*(DD$3:DD$105=V44)*(DE$3:DE$105="D"))+SUMPRODUCT((DA$3:DA$105=V46)*(DD$3:DD$105=V44)*(DE$3:DE$105="D"))+SUMPRODUCT((DA$3:DA$105=V47)*(DD$3:DD$105=V44)*(DE$3:DE$105="D"))+SUMPRODUCT((DA$3:DA$105=V43)*(DD$3:DD$105=V44)*(DE$3:DE$105="D"))</f>
        <v>0</v>
      </c>
      <c r="Y44" s="231">
        <f>SUMPRODUCT((DA$3:DA$105=V44)*(DD$3:DD$105=V45)*(DE$3:DE$105="L"))+SUMPRODUCT((DA$3:DA$105=V44)*(DD$3:DD$105=V46)*(DE$3:DE$105="L"))+SUMPRODUCT((DA$3:DA$105=V44)*(DD$3:DD$105=V47)*(DE$3:DE$105="L"))+SUMPRODUCT((DA$3:DA$105=V44)*(DD$3:DD$105=V43)*(DE$3:DE$105="L"))+SUMPRODUCT((DA$3:DA$105=V45)*(DD$3:DD$105=V44)*(DF$3:DF$105="L"))+SUMPRODUCT((DA$3:DA$105=V46)*(DD$3:DD$105=V44)*(DF$3:DF$105="L"))+SUMPRODUCT((DA$3:DA$105=V47)*(DD$3:DD$105=V44)*(DF$3:DF$105="L"))+SUMPRODUCT((DA$3:DA$105=V43)*(DD$3:DD$105=V44)*(DF$3:DF$105="L"))</f>
        <v>0</v>
      </c>
      <c r="Z44" s="231">
        <f>SUMPRODUCT((DA$3:DA$105=V44)*(DD$3:DD$105=V45)*DB$3:DB$105)+SUMPRODUCT((DA$3:DA$105=V44)*(DD$3:DD$105=V46)*DB$3:DB$105)+SUMPRODUCT((DA$3:DA$105=V44)*(DD$3:DD$105=V47)*DB$3:DB$105)+SUMPRODUCT((DA$3:DA$105=V44)*(DD$3:DD$105=V43)*DB$3:DB$105)+SUMPRODUCT((DA$3:DA$105=V45)*(DD$3:DD$105=V44)*DC$3:DC$105)+SUMPRODUCT((DA$3:DA$105=V46)*(DD$3:DD$105=V44)*DC$3:DC$105)+SUMPRODUCT((DA$3:DA$105=V47)*(DD$3:DD$105=V44)*DC$3:DC$105)+SUMPRODUCT((DA$3:DA$105=V43)*(DD$3:DD$105=V44)*DC$3:DC$105)</f>
        <v>0</v>
      </c>
      <c r="AA44" s="231">
        <f>SUMPRODUCT((DA$3:DA$105=V44)*(DD$3:DD$105=V45)*DC$3:DC$105)+SUMPRODUCT((DA$3:DA$105=V44)*(DD$3:DD$105=V46)*DC$3:DC$105)+SUMPRODUCT((DA$3:DA$105=V44)*(DD$3:DD$105=V47)*DC$3:DC$105)+SUMPRODUCT((DA$3:DA$105=V44)*(DD$3:DD$105=V43)*DC$3:DC$105)+SUMPRODUCT((DA$3:DA$105=V45)*(DD$3:DD$105=V44)*DB$3:DB$105)+SUMPRODUCT((DA$3:DA$105=V46)*(DD$3:DD$105=V44)*DB$3:DB$105)+SUMPRODUCT((DA$3:DA$105=V47)*(DD$3:DD$105=V44)*DB$3:DB$105)+SUMPRODUCT((DA$3:DA$105=V43)*(DD$3:DD$105=V44)*DB$3:DB$105)</f>
        <v>0</v>
      </c>
      <c r="AB44" s="231">
        <f>Z44-AA44+1000</f>
        <v>1000</v>
      </c>
      <c r="AC44" s="231">
        <f t="shared" si="80"/>
        <v>0</v>
      </c>
      <c r="AD44" s="231">
        <f>IF(V44&lt;&gt;"",VLOOKUP(V44,C$4:I$52,7,FALSE),"")</f>
        <v>1000</v>
      </c>
      <c r="AE44" s="231">
        <f>IF(V44&lt;&gt;"",VLOOKUP(V44,C$4:I$52,5,FALSE),"")</f>
        <v>0</v>
      </c>
      <c r="AF44" s="231">
        <f>IF(V44&lt;&gt;"",VLOOKUP(V44,C$4:K$52,9,FALSE),"")</f>
        <v>-131</v>
      </c>
      <c r="AG44" s="231">
        <f t="shared" si="81"/>
        <v>0</v>
      </c>
      <c r="AH44" s="231">
        <f>IF(V44&lt;&gt;"",RANK(AG44,AG$43:AG$47),"")</f>
        <v>1</v>
      </c>
      <c r="AI44" s="231">
        <f>IF(V44&lt;&gt;"",SUMPRODUCT((AG$43:AG$47=AG44)*(AB$43:AB$47&gt;AB44)),"")</f>
        <v>0</v>
      </c>
      <c r="AJ44" s="231">
        <f>IF(V44&lt;&gt;"",SUMPRODUCT((AG$43:AG$47=AG44)*(AB$43:AB$47=AB44)*(Z$43:Z$47&gt;Z44)),"")</f>
        <v>0</v>
      </c>
      <c r="AK44" s="231">
        <f>IF(V44&lt;&gt;"",SUMPRODUCT((AG$43:AG$47=AG44)*(AB$43:AB$47=AB44)*(Z$43:Z$47=Z44)*(AD$43:AD$47&gt;AD44)),"")</f>
        <v>0</v>
      </c>
      <c r="AL44" s="231">
        <f>IF(V44&lt;&gt;"",SUMPRODUCT((AG$43:AG$47=AG44)*(AB$43:AB$47=AB44)*(Z$43:Z$47=Z44)*(AD$43:AD$47=AD44)*(AE$43:AE$47&gt;AE44)),"")</f>
        <v>0</v>
      </c>
      <c r="AM44" s="231">
        <f>IF(V44&lt;&gt;"",SUMPRODUCT((AG$43:AG$47=AG44)*(AB$43:AB$47=AB44)*(Z$43:Z$47=Z44)*(AD$43:AD$47=AD44)*(AE$43:AE$47=AE44)*(AF$43:AF$47&gt;AF44)),"")</f>
        <v>2</v>
      </c>
      <c r="AN44" s="231">
        <f>IF(V44&lt;&gt;"",IF(AN123&lt;&gt;"",IF(U121=3,AN123,AN123+U121),SUM(AH44:AM44)),"")</f>
        <v>3</v>
      </c>
      <c r="AO44" s="231" t="str">
        <f>IF(V44&lt;&gt;"",INDEX(V$43:V$47,MATCH(2,AN$43:AN$47,0),0),"")</f>
        <v>Iran</v>
      </c>
      <c r="AP44" s="231" t="str">
        <f>IF(R43&lt;&gt;"",R43,"")</f>
        <v/>
      </c>
      <c r="AQ44" s="231">
        <f>SUMPRODUCT((DA$3:DA$105=AP44)*(DD$3:DD$105=AP45)*(DE$3:DE$105="W"))+SUMPRODUCT((DA$3:DA$105=AP44)*(DD$3:DD$105=AP46)*(DE$3:DE$105="W"))+SUMPRODUCT((DA$3:DA$105=AP44)*(DD$3:DD$105=AP47)*(DE$3:DE$105="W"))+SUMPRODUCT((DA$3:DA$105=AP45)*(DD$3:DD$105=AP44)*(DF$3:DF$105="W"))+SUMPRODUCT((DA$3:DA$105=AP46)*(DD$3:DD$105=AP44)*(DF$3:DF$105="W"))+SUMPRODUCT((DA$3:DA$105=AP47)*(DD$3:DD$105=AP44)*(DF$3:DF$105="W"))</f>
        <v>0</v>
      </c>
      <c r="AR44" s="231">
        <f>SUMPRODUCT((DA$3:DA$105=AP44)*(DD$3:DD$105=AP45)*(DE$3:DE$105="D"))+SUMPRODUCT((DA$3:DA$105=AP44)*(DD$3:DD$105=AP46)*(DE$3:DE$105="D"))+SUMPRODUCT((DA$3:DA$105=AP44)*(DD$3:DD$105=AP47)*(DE$3:DE$105="D"))+SUMPRODUCT((DA$3:DA$105=AP45)*(DD$3:DD$105=AP44)*(DE$3:DE$105="D"))+SUMPRODUCT((DA$3:DA$105=AP46)*(DD$3:DD$105=AP44)*(DE$3:DE$105="D"))+SUMPRODUCT((DA$3:DA$105=AP47)*(DD$3:DD$105=AP44)*(DE$3:DE$105="D"))</f>
        <v>0</v>
      </c>
      <c r="AS44" s="231">
        <f>SUMPRODUCT((DA$3:DA$105=AP44)*(DD$3:DD$105=AP45)*(DE$3:DE$105="L"))+SUMPRODUCT((DA$3:DA$105=AP44)*(DD$3:DD$105=AP46)*(DE$3:DE$105="L"))+SUMPRODUCT((DA$3:DA$105=AP44)*(DD$3:DD$105=AP47)*(DE$3:DE$105="L"))+SUMPRODUCT((DA$3:DA$105=AP45)*(DD$3:DD$105=AP44)*(DF$3:DF$105="L"))+SUMPRODUCT((DA$3:DA$105=AP46)*(DD$3:DD$105=AP44)*(DF$3:DF$105="L"))+SUMPRODUCT((DA$3:DA$105=AP47)*(DD$3:DD$105=AP44)*(DF$3:DF$105="L"))</f>
        <v>0</v>
      </c>
      <c r="AT44" s="231">
        <f>SUMPRODUCT((DA$3:DA$105=AP44)*(DD$3:DD$105=AP45)*DB$3:DB$105)+SUMPRODUCT((DA$3:DA$105=AP44)*(DD$3:DD$105=AP46)*DB$3:DB$105)+SUMPRODUCT((DA$3:DA$105=AP44)*(DD$3:DD$105=AP47)*DB$3:DB$105)+SUMPRODUCT((DA$3:DA$105=AP44)*(DD$3:DD$105=AP43)*DB$3:DB$105)+SUMPRODUCT((DA$3:DA$105=AP45)*(DD$3:DD$105=AP44)*DC$3:DC$105)+SUMPRODUCT((DA$3:DA$105=AP46)*(DD$3:DD$105=AP44)*DC$3:DC$105)+SUMPRODUCT((DA$3:DA$105=AP47)*(DD$3:DD$105=AP44)*DC$3:DC$105)+SUMPRODUCT((DA$3:DA$105=AP43)*(DD$3:DD$105=AP44)*DC$3:DC$105)</f>
        <v>0</v>
      </c>
      <c r="AU44" s="231">
        <f>SUMPRODUCT((DA$3:DA$105=AP44)*(DD$3:DD$105=AP45)*DC$3:DC$105)+SUMPRODUCT((DA$3:DA$105=AP44)*(DD$3:DD$105=AP46)*DC$3:DC$105)+SUMPRODUCT((DA$3:DA$105=AP44)*(DD$3:DD$105=AP47)*DC$3:DC$105)+SUMPRODUCT((DA$3:DA$105=AP44)*(DD$3:DD$105=AP43)*DC$3:DC$105)+SUMPRODUCT((DA$3:DA$105=AP45)*(DD$3:DD$105=AP44)*DB$3:DB$105)+SUMPRODUCT((DA$3:DA$105=AP46)*(DD$3:DD$105=AP44)*DB$3:DB$105)+SUMPRODUCT((DA$3:DA$105=AP47)*(DD$3:DD$105=AP44)*DB$3:DB$105)+SUMPRODUCT((DA$3:DA$105=AP43)*(DD$3:DD$105=AP44)*DB$3:DB$105)</f>
        <v>0</v>
      </c>
      <c r="AV44" s="231">
        <f>AT44-AU44+1000</f>
        <v>1000</v>
      </c>
      <c r="AW44" s="231" t="str">
        <f t="shared" ref="AW44:AW46" si="84">IF(AP44&lt;&gt;"",AQ44*3+AR44*1,"")</f>
        <v/>
      </c>
      <c r="AX44" s="231" t="str">
        <f>IF(AP44&lt;&gt;"",VLOOKUP(AP44,C$4:I$52,7,FALSE),"")</f>
        <v/>
      </c>
      <c r="AY44" s="231" t="str">
        <f>IF(AP44&lt;&gt;"",VLOOKUP(AP44,C$4:I$52,5,FALSE),"")</f>
        <v/>
      </c>
      <c r="AZ44" s="231" t="str">
        <f>IF(AP44&lt;&gt;"",VLOOKUP(AP44,C$4:K$52,9,FALSE),"")</f>
        <v/>
      </c>
      <c r="BA44" s="231" t="str">
        <f t="shared" ref="BA44:BA46" si="85">AW44</f>
        <v/>
      </c>
      <c r="BB44" s="231" t="str">
        <f>IF(AP44&lt;&gt;"",RANK(BA44,BA$43:BA$46),"")</f>
        <v/>
      </c>
      <c r="BC44" s="231" t="str">
        <f>IF(AP44&lt;&gt;"",SUMPRODUCT((BA$43:BA$47=BA44)*(AV$43:AV$47&gt;AV44)),"")</f>
        <v/>
      </c>
      <c r="BD44" s="231" t="str">
        <f>IF(AP44&lt;&gt;"",SUMPRODUCT((BA$43:BA$47=BA44)*(AV$43:AV$47=AV44)*(AT$43:AT$47&gt;AT44)),"")</f>
        <v/>
      </c>
      <c r="BE44" s="231" t="str">
        <f>IF(AP44&lt;&gt;"",SUMPRODUCT((BA$43:BA$47=BA44)*(AV$43:AV$47=AV44)*(AT$43:AT$47=AT44)*(AX$43:AX$47&gt;AX44)),"")</f>
        <v/>
      </c>
      <c r="BF44" s="231" t="str">
        <f>IF(AP44&lt;&gt;"",SUMPRODUCT((BA$43:BA$47=BA44)*(AV$43:AV$47=AV44)*(AT$43:AT$47=AT44)*(AX$43:AX$47=AX44)*(AY$43:AY$47&gt;AY44)),"")</f>
        <v/>
      </c>
      <c r="BG44" s="231" t="str">
        <f>IF(AP44&lt;&gt;"",SUMPRODUCT((BA$43:BA$47=BA44)*(AV$43:AV$47=AV44)*(AT$43:AT$47=AT44)*(AX$43:AX$47=AX44)*(AY$43:AY$47=AY44)*(AZ$43:AZ$47&gt;AZ44)),"")</f>
        <v/>
      </c>
      <c r="BH44" s="231" t="str">
        <f>IF(AP44&lt;&gt;"",IF(BH123&lt;&gt;"",IF(AO$121=3,BH123,BH123+AO121),SUM(BB44:BG44)+1),"")</f>
        <v/>
      </c>
      <c r="BI44" s="231" t="str">
        <f>IF(AP44&lt;&gt;"",INDEX(AP$44:AP$47,MATCH(2,BH$44:BH$47,0),0),"")</f>
        <v/>
      </c>
      <c r="CX44" s="231" t="str">
        <f>IF(BI44&lt;&gt;"",BI44,IF(AO44&lt;&gt;"",AO44,O44))</f>
        <v>Iran</v>
      </c>
      <c r="CY44" s="231">
        <v>2</v>
      </c>
      <c r="DA44" s="234" t="str">
        <f>Matches!H45</f>
        <v>France</v>
      </c>
      <c r="DB44" s="234">
        <f>IF($DA$2&lt;&gt;"",IF(AND(Matches!J45&lt;&gt;"",Matches!K45&lt;&gt;""),Matches!J45,0),"")</f>
        <v>0</v>
      </c>
      <c r="DC44" s="234">
        <f>IF($DA$2&lt;&gt;"",IF(AND(Matches!J45&lt;&gt;"",Matches!K45&lt;&gt;""),Matches!K45,0),"")</f>
        <v>0</v>
      </c>
      <c r="DD44" s="234" t="str">
        <f>Matches!M45</f>
        <v>Iraq</v>
      </c>
      <c r="DE44" s="234" t="str">
        <f>IF(AND(Matches!J45&lt;&gt;"",Matches!K45&lt;&gt;""),IF(DB44&gt;DC44,"W",IF(DB44=DC44,"D","L")),"")</f>
        <v/>
      </c>
      <c r="DF44" s="231" t="str">
        <f t="shared" si="0"/>
        <v/>
      </c>
      <c r="DQ44" s="238"/>
      <c r="DR44" s="239"/>
      <c r="DS44" s="240" t="str">
        <f t="shared" si="16"/>
        <v>Algeria</v>
      </c>
      <c r="DT44" s="241" t="s">
        <v>671</v>
      </c>
      <c r="DU44" s="240"/>
      <c r="DW44" s="242" t="s">
        <v>96</v>
      </c>
      <c r="DX44" s="230"/>
      <c r="DY44" s="243">
        <v>38</v>
      </c>
      <c r="DZ44" s="244">
        <f t="shared" si="14"/>
        <v>46194.5</v>
      </c>
      <c r="EA44" s="247">
        <v>46194.5</v>
      </c>
      <c r="EB44" s="246">
        <f t="shared" si="75"/>
        <v>46194.5</v>
      </c>
      <c r="EC44" s="247"/>
      <c r="EE44" s="233" t="str">
        <f>INDEX(Language!$A$1:$K$177,MATCH(Setup!B45,Language!$B$1:$B$177,0),MATCH(Setup!$C$5,Language!$A$1:$J$1,0))</f>
        <v>Algeria</v>
      </c>
    </row>
    <row r="45" spans="1:135" ht="13.5" customHeight="1" x14ac:dyDescent="0.25">
      <c r="A45" s="230">
        <f>Setup!F34+100</f>
        <v>120</v>
      </c>
      <c r="B45" s="231">
        <f>VLOOKUP(C45,CX$43:CY$46,2,FALSE)</f>
        <v>2</v>
      </c>
      <c r="C45" s="232" t="str">
        <f t="shared" si="82"/>
        <v>Iran</v>
      </c>
      <c r="D45" s="231">
        <f>SUMPRODUCT((DA$3:DA$105=C45)*(DE$3:DE$105="W"))+SUMPRODUCT((DD$3:DD$105=C45)*(DF$3:DF$105="W"))</f>
        <v>0</v>
      </c>
      <c r="E45" s="231">
        <f>SUMPRODUCT((DA$3:DA$105=C45)*(DE$3:DE$105="D"))+SUMPRODUCT((DD$3:DD$105=C45)*(DF$3:DF$105="D"))</f>
        <v>0</v>
      </c>
      <c r="F45" s="231">
        <f>SUMPRODUCT((DA$3:DA$105=C45)*(DE$3:DE$105="L"))+SUMPRODUCT((DD$3:DD$105=C45)*(DF$3:DF$105="L"))</f>
        <v>0</v>
      </c>
      <c r="G45" s="231">
        <f>SUMIF(DA$3:DA$123,C45,DB$3:DB$123)+SUMIF(DD$3:DD$123,C45,DC$3:DC$123)</f>
        <v>0</v>
      </c>
      <c r="H45" s="231">
        <f>SUMIF(DD$3:DD$123,C45,DB$3:DB$123)+SUMIF(DA$3:DA$123,C45,DC$3:DC$123)</f>
        <v>0</v>
      </c>
      <c r="I45" s="231">
        <f t="shared" si="78"/>
        <v>1000</v>
      </c>
      <c r="J45" s="231">
        <f t="shared" si="79"/>
        <v>0</v>
      </c>
      <c r="K45" s="231">
        <f>IF(Setup!G34&lt;&gt;"",Setup!G34,-A45)</f>
        <v>-120</v>
      </c>
      <c r="L45" s="231">
        <f>IF(COUNTIF(J$43:J$46,4)&lt;&gt;4,RANK(J45,J$43:J$46),J124)</f>
        <v>1</v>
      </c>
      <c r="N45" s="231">
        <f>SUMPRODUCT((L$43:L$46=L45)*(K$43:K$46&lt;K45))+L45</f>
        <v>3</v>
      </c>
      <c r="O45" s="232" t="str">
        <f>INDEX(C$43:C$47,MATCH(3,N$43:N$47,0),0)</f>
        <v>Iran</v>
      </c>
      <c r="P45" s="231">
        <f>INDEX(L$43:L$47,MATCH(O45,C$43:C$47,0),0)</f>
        <v>1</v>
      </c>
      <c r="Q45" s="231" t="str">
        <f>IF(AND(Q44&lt;&gt;"",P45=1),O45,"")</f>
        <v>Iran</v>
      </c>
      <c r="R45" s="231" t="str">
        <f>IF(AND(R44&lt;&gt;"",P46=2),O46,"")</f>
        <v/>
      </c>
      <c r="S45" s="231" t="str">
        <f>IF(AND(S44&lt;&gt;"",P47=3),O47,"")</f>
        <v/>
      </c>
      <c r="V45" s="231" t="str">
        <f t="shared" si="83"/>
        <v>Iran</v>
      </c>
      <c r="W45" s="231">
        <f>SUMPRODUCT((DA$3:DA$105=V45)*(DD$3:DD$105=V46)*(DE$3:DE$105="W"))+SUMPRODUCT((DA$3:DA$105=V45)*(DD$3:DD$105=V47)*(DE$3:DE$105="W"))+SUMPRODUCT((DA$3:DA$105=V45)*(DD$3:DD$105=V43)*(DE$3:DE$105="W"))+SUMPRODUCT((DA$3:DA$105=V45)*(DD$3:DD$105=V44)*(DE$3:DE$105="W"))+SUMPRODUCT((DA$3:DA$105=V46)*(DD$3:DD$105=V45)*(DF$3:DF$105="W"))+SUMPRODUCT((DA$3:DA$105=V47)*(DD$3:DD$105=V45)*(DF$3:DF$105="W"))+SUMPRODUCT((DA$3:DA$105=V43)*(DD$3:DD$105=V45)*(DF$3:DF$105="W"))+SUMPRODUCT((DA$3:DA$105=V44)*(DD$3:DD$105=V45)*(DF$3:DF$105="W"))</f>
        <v>0</v>
      </c>
      <c r="X45" s="231">
        <f>SUMPRODUCT((DA$3:DA$105=V45)*(DD$3:DD$105=V46)*(DE$3:DE$105="D"))+SUMPRODUCT((DA$3:DA$105=V45)*(DD$3:DD$105=V47)*(DE$3:DE$105="D"))+SUMPRODUCT((DA$3:DA$105=V45)*(DD$3:DD$105=V43)*(DE$3:DE$105="D"))+SUMPRODUCT((DA$3:DA$105=V45)*(DD$3:DD$105=V44)*(DE$3:DE$105="D"))+SUMPRODUCT((DA$3:DA$105=V46)*(DD$3:DD$105=V45)*(DE$3:DE$105="D"))+SUMPRODUCT((DA$3:DA$105=V47)*(DD$3:DD$105=V45)*(DE$3:DE$105="D"))+SUMPRODUCT((DA$3:DA$105=V43)*(DD$3:DD$105=V45)*(DE$3:DE$105="D"))+SUMPRODUCT((DA$3:DA$105=V44)*(DD$3:DD$105=V45)*(DE$3:DE$105="D"))</f>
        <v>0</v>
      </c>
      <c r="Y45" s="231">
        <f>SUMPRODUCT((DA$3:DA$105=V45)*(DD$3:DD$105=V46)*(DE$3:DE$105="L"))+SUMPRODUCT((DA$3:DA$105=V45)*(DD$3:DD$105=V47)*(DE$3:DE$105="L"))+SUMPRODUCT((DA$3:DA$105=V45)*(DD$3:DD$105=V43)*(DE$3:DE$105="L"))+SUMPRODUCT((DA$3:DA$105=V45)*(DD$3:DD$105=V44)*(DE$3:DE$105="L"))+SUMPRODUCT((DA$3:DA$105=V46)*(DD$3:DD$105=V45)*(DF$3:DF$105="L"))+SUMPRODUCT((DA$3:DA$105=V47)*(DD$3:DD$105=V45)*(DF$3:DF$105="L"))+SUMPRODUCT((DA$3:DA$105=V43)*(DD$3:DD$105=V45)*(DF$3:DF$105="L"))+SUMPRODUCT((DA$3:DA$105=V44)*(DD$3:DD$105=V45)*(DF$3:DF$105="L"))</f>
        <v>0</v>
      </c>
      <c r="Z45" s="231">
        <f>SUMPRODUCT((DA$3:DA$105=V45)*(DD$3:DD$105=V46)*DB$3:DB$105)+SUMPRODUCT((DA$3:DA$105=V45)*(DD$3:DD$105=V47)*DB$3:DB$105)+SUMPRODUCT((DA$3:DA$105=V45)*(DD$3:DD$105=V43)*DB$3:DB$105)+SUMPRODUCT((DA$3:DA$105=V45)*(DD$3:DD$105=V44)*DB$3:DB$105)+SUMPRODUCT((DA$3:DA$105=V46)*(DD$3:DD$105=V45)*DC$3:DC$105)+SUMPRODUCT((DA$3:DA$105=V47)*(DD$3:DD$105=V45)*DC$3:DC$105)+SUMPRODUCT((DA$3:DA$105=V43)*(DD$3:DD$105=V45)*DC$3:DC$105)+SUMPRODUCT((DA$3:DA$105=V44)*(DD$3:DD$105=V45)*DC$3:DC$105)</f>
        <v>0</v>
      </c>
      <c r="AA45" s="231">
        <f>SUMPRODUCT((DA$3:DA$105=V45)*(DD$3:DD$105=V46)*DC$3:DC$105)+SUMPRODUCT((DA$3:DA$105=V45)*(DD$3:DD$105=V47)*DC$3:DC$105)+SUMPRODUCT((DA$3:DA$105=V45)*(DD$3:DD$105=V43)*DC$3:DC$105)+SUMPRODUCT((DA$3:DA$105=V45)*(DD$3:DD$105=V44)*DC$3:DC$105)+SUMPRODUCT((DA$3:DA$105=V46)*(DD$3:DD$105=V45)*DB$3:DB$105)+SUMPRODUCT((DA$3:DA$105=V47)*(DD$3:DD$105=V45)*DB$3:DB$105)+SUMPRODUCT((DA$3:DA$105=V43)*(DD$3:DD$105=V45)*DB$3:DB$105)+SUMPRODUCT((DA$3:DA$105=V44)*(DD$3:DD$105=V45)*DB$3:DB$105)</f>
        <v>0</v>
      </c>
      <c r="AB45" s="231">
        <f>Z45-AA45+1000</f>
        <v>1000</v>
      </c>
      <c r="AC45" s="231">
        <f t="shared" si="80"/>
        <v>0</v>
      </c>
      <c r="AD45" s="231">
        <f>IF(V45&lt;&gt;"",VLOOKUP(V45,C$4:I$52,7,FALSE),"")</f>
        <v>1000</v>
      </c>
      <c r="AE45" s="231">
        <f>IF(V45&lt;&gt;"",VLOOKUP(V45,C$4:I$52,5,FALSE),"")</f>
        <v>0</v>
      </c>
      <c r="AF45" s="231">
        <f>IF(V45&lt;&gt;"",VLOOKUP(V45,C$4:K$52,9,FALSE),"")</f>
        <v>-120</v>
      </c>
      <c r="AG45" s="231">
        <f t="shared" si="81"/>
        <v>0</v>
      </c>
      <c r="AH45" s="231">
        <f>IF(V45&lt;&gt;"",RANK(AG45,AG$43:AG$47),"")</f>
        <v>1</v>
      </c>
      <c r="AI45" s="231">
        <f>IF(V45&lt;&gt;"",SUMPRODUCT((AG$43:AG$47=AG45)*(AB$43:AB$47&gt;AB45)),"")</f>
        <v>0</v>
      </c>
      <c r="AJ45" s="231">
        <f>IF(V45&lt;&gt;"",SUMPRODUCT((AG$43:AG$47=AG45)*(AB$43:AB$47=AB45)*(Z$43:Z$47&gt;Z45)),"")</f>
        <v>0</v>
      </c>
      <c r="AK45" s="231">
        <f>IF(V45&lt;&gt;"",SUMPRODUCT((AG$43:AG$47=AG45)*(AB$43:AB$47=AB45)*(Z$43:Z$47=Z45)*(AD$43:AD$47&gt;AD45)),"")</f>
        <v>0</v>
      </c>
      <c r="AL45" s="231">
        <f>IF(V45&lt;&gt;"",SUMPRODUCT((AG$43:AG$47=AG45)*(AB$43:AB$47=AB45)*(Z$43:Z$47=Z45)*(AD$43:AD$47=AD45)*(AE$43:AE$47&gt;AE45)),"")</f>
        <v>0</v>
      </c>
      <c r="AM45" s="231">
        <f>IF(V45&lt;&gt;"",SUMPRODUCT((AG$43:AG$47=AG45)*(AB$43:AB$47=AB45)*(Z$43:Z$47=Z45)*(AD$43:AD$47=AD45)*(AE$43:AE$47=AE45)*(AF$43:AF$47&gt;AF45)),"")</f>
        <v>1</v>
      </c>
      <c r="AN45" s="231">
        <f>IF(V45&lt;&gt;"",IF(AN124&lt;&gt;"",IF(U121=3,AN124,AN124+U121),SUM(AH45:AM45)),"")</f>
        <v>2</v>
      </c>
      <c r="AO45" s="231" t="str">
        <f>IF(V45&lt;&gt;"",INDEX(V$43:V$47,MATCH(3,AN$43:AN$47,0),0),"")</f>
        <v>Egypt</v>
      </c>
      <c r="AP45" s="231" t="str">
        <f>IF(R44&lt;&gt;"",R44,"")</f>
        <v/>
      </c>
      <c r="AQ45" s="231">
        <f>SUMPRODUCT((DA$3:DA$105=AP45)*(DD$3:DD$105=AP46)*(DE$3:DE$105="W"))+SUMPRODUCT((DA$3:DA$105=AP45)*(DD$3:DD$105=AP47)*(DE$3:DE$105="W"))+SUMPRODUCT((DA$3:DA$105=AP45)*(DD$3:DD$105=AP44)*(DE$3:DE$105="W"))+SUMPRODUCT((DA$3:DA$105=AP46)*(DD$3:DD$105=AP45)*(DF$3:DF$105="W"))+SUMPRODUCT((DA$3:DA$105=AP47)*(DD$3:DD$105=AP45)*(DF$3:DF$105="W"))+SUMPRODUCT((DA$3:DA$105=AP44)*(DD$3:DD$105=AP45)*(DF$3:DF$105="W"))</f>
        <v>0</v>
      </c>
      <c r="AR45" s="231">
        <f>SUMPRODUCT((DA$3:DA$105=AP45)*(DD$3:DD$105=AP46)*(DE$3:DE$105="D"))+SUMPRODUCT((DA$3:DA$105=AP45)*(DD$3:DD$105=AP47)*(DE$3:DE$105="D"))+SUMPRODUCT((DA$3:DA$105=AP45)*(DD$3:DD$105=AP44)*(DE$3:DE$105="D"))+SUMPRODUCT((DA$3:DA$105=AP46)*(DD$3:DD$105=AP45)*(DE$3:DE$105="D"))+SUMPRODUCT((DA$3:DA$105=AP47)*(DD$3:DD$105=AP45)*(DE$3:DE$105="D"))+SUMPRODUCT((DA$3:DA$105=AP44)*(DD$3:DD$105=AP45)*(DE$3:DE$105="D"))</f>
        <v>0</v>
      </c>
      <c r="AS45" s="231">
        <f>SUMPRODUCT((DA$3:DA$105=AP45)*(DD$3:DD$105=AP46)*(DE$3:DE$105="L"))+SUMPRODUCT((DA$3:DA$105=AP45)*(DD$3:DD$105=AP47)*(DE$3:DE$105="L"))+SUMPRODUCT((DA$3:DA$105=AP45)*(DD$3:DD$105=AP44)*(DE$3:DE$105="L"))+SUMPRODUCT((DA$3:DA$105=AP46)*(DD$3:DD$105=AP45)*(DF$3:DF$105="L"))+SUMPRODUCT((DA$3:DA$105=AP47)*(DD$3:DD$105=AP45)*(DF$3:DF$105="L"))+SUMPRODUCT((DA$3:DA$105=AP44)*(DD$3:DD$105=AP45)*(DF$3:DF$105="L"))</f>
        <v>0</v>
      </c>
      <c r="AT45" s="231">
        <f>SUMPRODUCT((DA$3:DA$105=AP45)*(DD$3:DD$105=AP46)*DB$3:DB$105)+SUMPRODUCT((DA$3:DA$105=AP45)*(DD$3:DD$105=AP47)*DB$3:DB$105)+SUMPRODUCT((DA$3:DA$105=AP45)*(DD$3:DD$105=AP43)*DB$3:DB$105)+SUMPRODUCT((DA$3:DA$105=AP45)*(DD$3:DD$105=AP44)*DB$3:DB$105)+SUMPRODUCT((DA$3:DA$105=AP46)*(DD$3:DD$105=AP45)*DC$3:DC$105)+SUMPRODUCT((DA$3:DA$105=AP47)*(DD$3:DD$105=AP45)*DC$3:DC$105)+SUMPRODUCT((DA$3:DA$105=AP43)*(DD$3:DD$105=AP45)*DC$3:DC$105)+SUMPRODUCT((DA$3:DA$105=AP44)*(DD$3:DD$105=AP45)*DC$3:DC$105)</f>
        <v>0</v>
      </c>
      <c r="AU45" s="231">
        <f>SUMPRODUCT((DA$3:DA$105=AP45)*(DD$3:DD$105=AP46)*DC$3:DC$105)+SUMPRODUCT((DA$3:DA$105=AP45)*(DD$3:DD$105=AP47)*DC$3:DC$105)+SUMPRODUCT((DA$3:DA$105=AP45)*(DD$3:DD$105=AP43)*DC$3:DC$105)+SUMPRODUCT((DA$3:DA$105=AP45)*(DD$3:DD$105=AP44)*DC$3:DC$105)+SUMPRODUCT((DA$3:DA$105=AP46)*(DD$3:DD$105=AP45)*DB$3:DB$105)+SUMPRODUCT((DA$3:DA$105=AP47)*(DD$3:DD$105=AP45)*DB$3:DB$105)+SUMPRODUCT((DA$3:DA$105=AP43)*(DD$3:DD$105=AP45)*DB$3:DB$105)+SUMPRODUCT((DA$3:DA$105=AP44)*(DD$3:DD$105=AP45)*DB$3:DB$105)</f>
        <v>0</v>
      </c>
      <c r="AV45" s="231">
        <f>AT45-AU45+1000</f>
        <v>1000</v>
      </c>
      <c r="AW45" s="231" t="str">
        <f t="shared" si="84"/>
        <v/>
      </c>
      <c r="AX45" s="231" t="str">
        <f>IF(AP45&lt;&gt;"",VLOOKUP(AP45,C$4:I$52,7,FALSE),"")</f>
        <v/>
      </c>
      <c r="AY45" s="231" t="str">
        <f>IF(AP45&lt;&gt;"",VLOOKUP(AP45,C$4:I$52,5,FALSE),"")</f>
        <v/>
      </c>
      <c r="AZ45" s="231" t="str">
        <f>IF(AP45&lt;&gt;"",VLOOKUP(AP45,C$4:K$52,9,FALSE),"")</f>
        <v/>
      </c>
      <c r="BA45" s="231" t="str">
        <f t="shared" si="85"/>
        <v/>
      </c>
      <c r="BB45" s="231" t="str">
        <f>IF(AP45&lt;&gt;"",RANK(BA45,BA$43:BA$46),"")</f>
        <v/>
      </c>
      <c r="BC45" s="231" t="str">
        <f>IF(AP45&lt;&gt;"",SUMPRODUCT((BA$43:BA$47=BA45)*(AV$43:AV$47&gt;AV45)),"")</f>
        <v/>
      </c>
      <c r="BD45" s="231" t="str">
        <f>IF(AP45&lt;&gt;"",SUMPRODUCT((BA$43:BA$47=BA45)*(AV$43:AV$47=AV45)*(AT$43:AT$47&gt;AT45)),"")</f>
        <v/>
      </c>
      <c r="BE45" s="231" t="str">
        <f>IF(AP45&lt;&gt;"",SUMPRODUCT((BA$43:BA$47=BA45)*(AV$43:AV$47=AV45)*(AT$43:AT$47=AT45)*(AX$43:AX$47&gt;AX45)),"")</f>
        <v/>
      </c>
      <c r="BF45" s="231" t="str">
        <f>IF(AP45&lt;&gt;"",SUMPRODUCT((BA$43:BA$47=BA45)*(AV$43:AV$47=AV45)*(AT$43:AT$47=AT45)*(AX$43:AX$47=AX45)*(AY$43:AY$47&gt;AY45)),"")</f>
        <v/>
      </c>
      <c r="BG45" s="231" t="str">
        <f>IF(AP45&lt;&gt;"",SUMPRODUCT((BA$43:BA$47=BA45)*(AV$43:AV$47=AV45)*(AT$43:AT$47=AT45)*(AX$43:AX$47=AX45)*(AY$43:AY$47=AY45)*(AZ$43:AZ$47&gt;AZ45)),"")</f>
        <v/>
      </c>
      <c r="BH45" s="231" t="str">
        <f>IF(AP45&lt;&gt;"",IF(BH124&lt;&gt;"",IF(AO$121=3,BH124,BH124+AO121),SUM(BB45:BG45)+1),"")</f>
        <v/>
      </c>
      <c r="BI45" s="231" t="str">
        <f>IF(AP45&lt;&gt;"",INDEX(AP$44:AP$47,MATCH(3,BH$44:BH$47,0),0),"")</f>
        <v/>
      </c>
      <c r="BJ45" s="231" t="str">
        <f>IF(S43&lt;&gt;"",S43,"")</f>
        <v/>
      </c>
      <c r="BK45" s="231">
        <f>SUMPRODUCT((DA$3:DA$105=BJ45)*(DD$3:DD$105=BJ46)*(DE$3:DE$105="W"))+SUMPRODUCT((DA$3:DA$105=BJ45)*(DD$3:DD$105=BJ47)*(DE$3:DE$105="W"))+SUMPRODUCT((DA$3:DA$105=BJ45)*(DD$3:DD$105=BJ87)*(DE$3:DE$105="W"))+SUMPRODUCT((DA$3:DA$105=BJ46)*(DD$3:DD$105=BJ45)*(DF$3:DF$105="W"))+SUMPRODUCT((DA$3:DA$105=BJ47)*(DD$3:DD$105=BJ45)*(DF$3:DF$105="W"))+SUMPRODUCT((DA$3:DA$105=BJ87)*(DD$3:DD$105=BJ45)*(DF$3:DF$105="W"))</f>
        <v>0</v>
      </c>
      <c r="BL45" s="231">
        <f>SUMPRODUCT((DA$3:DA$105=BJ45)*(DD$3:DD$105=BJ46)*(DE$3:DE$105="D"))+SUMPRODUCT((DA$3:DA$105=BJ45)*(DD$3:DD$105=BJ47)*(DE$3:DE$105="D"))+SUMPRODUCT((DA$3:DA$105=BJ45)*(DD$3:DD$105=BJ87)*(DE$3:DE$105="D"))+SUMPRODUCT((DA$3:DA$105=BJ46)*(DD$3:DD$105=BJ45)*(DE$3:DE$105="D"))+SUMPRODUCT((DA$3:DA$105=BJ47)*(DD$3:DD$105=BJ45)*(DE$3:DE$105="D"))+SUMPRODUCT((DA$3:DA$105=BJ87)*(DD$3:DD$105=BJ45)*(DE$3:DE$105="D"))</f>
        <v>0</v>
      </c>
      <c r="BM45" s="231">
        <f>SUMPRODUCT((DA$3:DA$105=BJ45)*(DD$3:DD$105=BJ46)*(DE$3:DE$105="L"))+SUMPRODUCT((DA$3:DA$105=BJ45)*(DD$3:DD$105=BJ47)*(DE$3:DE$105="L"))+SUMPRODUCT((DA$3:DA$105=BJ45)*(DD$3:DD$105=BJ87)*(DE$3:DE$105="L"))+SUMPRODUCT((DA$3:DA$105=BJ46)*(DD$3:DD$105=BJ45)*(DF$3:DF$105="L"))+SUMPRODUCT((DA$3:DA$105=BJ47)*(DD$3:DD$105=BJ45)*(DF$3:DF$105="L"))+SUMPRODUCT((DA$3:DA$105=BJ87)*(DD$3:DD$105=BJ45)*(DF$3:DF$105="L"))</f>
        <v>0</v>
      </c>
      <c r="BN45" s="231">
        <f>SUMPRODUCT((DA$3:DA$105=BJ45)*(DD$3:DD$105=BJ46)*DB$3:DB$105)+SUMPRODUCT((DA$3:DA$105=BJ45)*(DD$3:DD$105=BJ47)*DB$3:DB$105)+SUMPRODUCT((DA$3:DA$105=BJ45)*(DD$3:DD$105=BJ43)*DB$3:DB$105)+SUMPRODUCT((DA$3:DA$105=BJ45)*(DD$3:DD$105=BJ44)*DB$3:DB$105)+SUMPRODUCT((DA$3:DA$105=BJ46)*(DD$3:DD$105=BJ45)*DC$3:DC$105)+SUMPRODUCT((DA$3:DA$105=BJ47)*(DD$3:DD$105=BJ45)*DC$3:DC$105)+SUMPRODUCT((DA$3:DA$105=BJ43)*(DD$3:DD$105=BJ45)*DC$3:DC$105)+SUMPRODUCT((DA$3:DA$105=BJ44)*(DD$3:DD$105=BJ45)*DC$3:DC$105)</f>
        <v>0</v>
      </c>
      <c r="BO45" s="231">
        <f>SUMPRODUCT((DA$3:DA$105=BJ45)*(DD$3:DD$105=BJ46)*DC$3:DC$105)+SUMPRODUCT((DA$3:DA$105=BJ45)*(DD$3:DD$105=BJ47)*DC$3:DC$105)+SUMPRODUCT((DA$3:DA$105=BJ45)*(DD$3:DD$105=BJ43)*DC$3:DC$105)+SUMPRODUCT((DA$3:DA$105=BJ45)*(DD$3:DD$105=BJ44)*DC$3:DC$105)+SUMPRODUCT((DA$3:DA$105=BJ46)*(DD$3:DD$105=BJ45)*DB$3:DB$105)+SUMPRODUCT((DA$3:DA$105=BJ47)*(DD$3:DD$105=BJ45)*DB$3:DB$105)+SUMPRODUCT((DA$3:DA$105=BJ43)*(DD$3:DD$105=BJ45)*DB$3:DB$105)+SUMPRODUCT((DA$3:DA$105=BJ44)*(DD$3:DD$105=BJ45)*DB$3:DB$105)</f>
        <v>0</v>
      </c>
      <c r="BP45" s="231">
        <f>BN45-BO45+1000</f>
        <v>1000</v>
      </c>
      <c r="BQ45" s="231" t="str">
        <f t="shared" ref="BQ45:BQ46" si="86">IF(BJ45&lt;&gt;"",BK45*3+BL45*1,"")</f>
        <v/>
      </c>
      <c r="BR45" s="231" t="str">
        <f>IF(BJ45&lt;&gt;"",VLOOKUP(BJ45,C$4:I$52,7,FALSE),"")</f>
        <v/>
      </c>
      <c r="BS45" s="231" t="str">
        <f>IF(BJ45&lt;&gt;"",VLOOKUP(BJ45,C$4:I$52,5,FALSE),"")</f>
        <v/>
      </c>
      <c r="BT45" s="231" t="str">
        <f>IF(BJ45&lt;&gt;"",VLOOKUP(BJ45,C$4:K$52,9,FALSE),"")</f>
        <v/>
      </c>
      <c r="BU45" s="231" t="str">
        <f t="shared" ref="BU45:BU46" si="87">BQ45</f>
        <v/>
      </c>
      <c r="BV45" s="231" t="str">
        <f>IF(BJ45&lt;&gt;"",RANK(BU45,BU$44:BU$46),"")</f>
        <v/>
      </c>
      <c r="BW45" s="231" t="str">
        <f>IF(BJ45&lt;&gt;"",SUMPRODUCT((BU$43:BU$47=BU45)*(BP$43:BP$47&gt;BP45)),"")</f>
        <v/>
      </c>
      <c r="BX45" s="231" t="str">
        <f>IF(BJ45&lt;&gt;"",SUMPRODUCT((BU$43:BU$47=BU45)*(BP$43:BP$47=BP45)*(BN$43:BN$47&gt;BN45)),"")</f>
        <v/>
      </c>
      <c r="BY45" s="231" t="str">
        <f>IF(BJ45&lt;&gt;"",SUMPRODUCT((BU$43:BU$47=BU45)*(BP$43:BP$47=BP45)*(BN$43:BN$47=BN45)*(BR$43:BR$47&gt;BR45)),"")</f>
        <v/>
      </c>
      <c r="BZ45" s="231" t="str">
        <f>IF(BJ45&lt;&gt;"",SUMPRODUCT((BU$43:BU$47=BU45)*(BP$43:BP$47=BP45)*(BN$43:BN$47=BN45)*(BR$43:BR$47=BR45)*(BS$43:BS$47&gt;BS45)),"")</f>
        <v/>
      </c>
      <c r="CA45" s="231" t="str">
        <f>IF(BJ45&lt;&gt;"",SUMPRODUCT((BU$43:BU$47=BU45)*(BP$43:BP$47=BP45)*(BN$43:BN$47=BN45)*(BR$43:BR$47=BR45)*(BS$43:BS$47=BS45)*(BT$43:BT$47&gt;BT45)),"")</f>
        <v/>
      </c>
      <c r="CB45" s="231" t="str">
        <f>IF(BJ45&lt;&gt;"",SUM(BV45:CA45)+2,"")</f>
        <v/>
      </c>
      <c r="CC45" s="231" t="str">
        <f>IF(BJ45&lt;&gt;"",INDEX(BJ$45:BJ$47,MATCH(3,CB$45:CB$47,0),0),"")</f>
        <v/>
      </c>
      <c r="CX45" s="231" t="str">
        <f>IF(CC45&lt;&gt;"",CC45,IF(BI45&lt;&gt;"",BI45,IF(AO45&lt;&gt;"",AO45,O45)))</f>
        <v>Egypt</v>
      </c>
      <c r="CY45" s="231">
        <v>3</v>
      </c>
      <c r="DA45" s="234" t="str">
        <f>Matches!H46</f>
        <v>Argentina</v>
      </c>
      <c r="DB45" s="234">
        <f>IF($DA$2&lt;&gt;"",IF(AND(Matches!J46&lt;&gt;"",Matches!K46&lt;&gt;""),Matches!J46,0),"")</f>
        <v>0</v>
      </c>
      <c r="DC45" s="234">
        <f>IF($DA$2&lt;&gt;"",IF(AND(Matches!J46&lt;&gt;"",Matches!K46&lt;&gt;""),Matches!K46,0),"")</f>
        <v>0</v>
      </c>
      <c r="DD45" s="234" t="str">
        <f>Matches!M46</f>
        <v>Austria</v>
      </c>
      <c r="DE45" s="234" t="str">
        <f>IF(AND(Matches!J46&lt;&gt;"",Matches!K46&lt;&gt;""),IF(DB45&gt;DC45,"W",IF(DB45=DC45,"D","L")),"")</f>
        <v/>
      </c>
      <c r="DF45" s="231" t="str">
        <f t="shared" si="0"/>
        <v/>
      </c>
      <c r="DQ45" s="238"/>
      <c r="DR45" s="239"/>
      <c r="DS45" s="240" t="str">
        <f t="shared" si="16"/>
        <v>Austria</v>
      </c>
      <c r="DT45" s="241" t="s">
        <v>672</v>
      </c>
      <c r="DU45" s="240"/>
      <c r="DW45" s="242" t="s">
        <v>97</v>
      </c>
      <c r="DX45" s="230"/>
      <c r="DY45" s="243">
        <v>39</v>
      </c>
      <c r="DZ45" s="244">
        <f t="shared" si="14"/>
        <v>46194.625</v>
      </c>
      <c r="EA45" s="247">
        <v>46194.625</v>
      </c>
      <c r="EB45" s="246">
        <f t="shared" si="75"/>
        <v>46194.625</v>
      </c>
      <c r="EC45" s="247"/>
      <c r="EE45" s="233" t="str">
        <f>INDEX(Language!$A$1:$K$177,MATCH(Setup!B46,Language!$B$1:$B$177,0),MATCH(Setup!$C$5,Language!$A$1:$J$1,0))</f>
        <v>Austria</v>
      </c>
    </row>
    <row r="46" spans="1:135" ht="13.5" customHeight="1" x14ac:dyDescent="0.25">
      <c r="A46" s="230">
        <f>Setup!F35+100</f>
        <v>185</v>
      </c>
      <c r="B46" s="231">
        <f>VLOOKUP(C46,CX$43:CY$46,2,FALSE)</f>
        <v>4</v>
      </c>
      <c r="C46" s="232" t="str">
        <f t="shared" si="82"/>
        <v>New Zealand</v>
      </c>
      <c r="D46" s="231">
        <f>SUMPRODUCT((DA$3:DA$105=C46)*(DE$3:DE$105="W"))+SUMPRODUCT((DD$3:DD$105=C46)*(DF$3:DF$105="W"))</f>
        <v>0</v>
      </c>
      <c r="E46" s="231">
        <f>SUMPRODUCT((DA$3:DA$105=C46)*(DE$3:DE$105="D"))+SUMPRODUCT((DD$3:DD$105=C46)*(DF$3:DF$105="D"))</f>
        <v>0</v>
      </c>
      <c r="F46" s="231">
        <f>SUMPRODUCT((DA$3:DA$105=C46)*(DE$3:DE$105="L"))+SUMPRODUCT((DD$3:DD$105=C46)*(DF$3:DF$105="L"))</f>
        <v>0</v>
      </c>
      <c r="G46" s="231">
        <f>SUMIF(DA$3:DA$123,C46,DB$3:DB$123)+SUMIF(DD$3:DD$123,C46,DC$3:DC$123)</f>
        <v>0</v>
      </c>
      <c r="H46" s="231">
        <f>SUMIF(DD$3:DD$123,C46,DB$3:DB$123)+SUMIF(DA$3:DA$123,C46,DC$3:DC$123)</f>
        <v>0</v>
      </c>
      <c r="I46" s="231">
        <f t="shared" si="78"/>
        <v>1000</v>
      </c>
      <c r="J46" s="231">
        <f t="shared" si="79"/>
        <v>0</v>
      </c>
      <c r="K46" s="231">
        <f>IF(Setup!G35&lt;&gt;"",Setup!G35,-A46)</f>
        <v>-185</v>
      </c>
      <c r="L46" s="231">
        <f>IF(COUNTIF(J$43:J$46,4)&lt;&gt;4,RANK(J46,J$43:J$46),J125)</f>
        <v>1</v>
      </c>
      <c r="N46" s="231">
        <f>SUMPRODUCT((L$43:L$46=L46)*(K$43:K$46&lt;K46))+L46</f>
        <v>1</v>
      </c>
      <c r="O46" s="232" t="str">
        <f>INDEX(C$43:C$47,MATCH(4,N$43:N$47,0),0)</f>
        <v>Belgium</v>
      </c>
      <c r="P46" s="231">
        <f>IF(RIGHT(License!G12,2)="om",INDEX(L$43:L$47,MATCH(O46,C$43:C$47,0),0),3)</f>
        <v>1</v>
      </c>
      <c r="Q46" s="231" t="str">
        <f>IF(AND(Q45&lt;&gt;"",P46=1),O46,"")</f>
        <v>Belgium</v>
      </c>
      <c r="R46" s="231" t="str">
        <f>IF(AND(R45&lt;&gt;"",P47=2),O47,"")</f>
        <v/>
      </c>
      <c r="V46" s="231" t="str">
        <f t="shared" si="83"/>
        <v>Belgium</v>
      </c>
      <c r="W46" s="231">
        <f>SUMPRODUCT((DA$3:DA$105=V46)*(DD$3:DD$105=V47)*(DE$3:DE$105="W"))+SUMPRODUCT((DA$3:DA$105=V46)*(DD$3:DD$105=V43)*(DE$3:DE$105="W"))+SUMPRODUCT((DA$3:DA$105=V46)*(DD$3:DD$105=V44)*(DE$3:DE$105="W"))+SUMPRODUCT((DA$3:DA$105=V46)*(DD$3:DD$105=V45)*(DE$3:DE$105="W"))+SUMPRODUCT((DA$3:DA$105=V47)*(DD$3:DD$105=V46)*(DF$3:DF$105="W"))+SUMPRODUCT((DA$3:DA$105=V43)*(DD$3:DD$105=V46)*(DF$3:DF$105="W"))+SUMPRODUCT((DA$3:DA$105=V44)*(DD$3:DD$105=V46)*(DF$3:DF$105="W"))+SUMPRODUCT((DA$3:DA$105=V45)*(DD$3:DD$105=V46)*(DF$3:DF$105="W"))</f>
        <v>0</v>
      </c>
      <c r="X46" s="231">
        <f>SUMPRODUCT((DA$3:DA$105=V46)*(DD$3:DD$105=V47)*(DE$3:DE$105="D"))+SUMPRODUCT((DA$3:DA$105=V46)*(DD$3:DD$105=V43)*(DE$3:DE$105="D"))+SUMPRODUCT((DA$3:DA$105=V46)*(DD$3:DD$105=V44)*(DE$3:DE$105="D"))+SUMPRODUCT((DA$3:DA$105=V46)*(DD$3:DD$105=V45)*(DE$3:DE$105="D"))+SUMPRODUCT((DA$3:DA$105=V47)*(DD$3:DD$105=V46)*(DE$3:DE$105="D"))+SUMPRODUCT((DA$3:DA$105=V43)*(DD$3:DD$105=V46)*(DE$3:DE$105="D"))+SUMPRODUCT((DA$3:DA$105=V44)*(DD$3:DD$105=V46)*(DE$3:DE$105="D"))+SUMPRODUCT((DA$3:DA$105=V45)*(DD$3:DD$105=V46)*(DE$3:DE$105="D"))</f>
        <v>0</v>
      </c>
      <c r="Y46" s="231">
        <f>SUMPRODUCT((DA$3:DA$105=V46)*(DD$3:DD$105=V47)*(DE$3:DE$105="L"))+SUMPRODUCT((DA$3:DA$105=V46)*(DD$3:DD$105=V43)*(DE$3:DE$105="L"))+SUMPRODUCT((DA$3:DA$105=V46)*(DD$3:DD$105=V44)*(DE$3:DE$105="L"))+SUMPRODUCT((DA$3:DA$105=V46)*(DD$3:DD$105=V45)*(DE$3:DE$105="L"))+SUMPRODUCT((DA$3:DA$105=V47)*(DD$3:DD$105=V46)*(DF$3:DF$105="L"))+SUMPRODUCT((DA$3:DA$105=V43)*(DD$3:DD$105=V46)*(DF$3:DF$105="L"))+SUMPRODUCT((DA$3:DA$105=V44)*(DD$3:DD$105=V46)*(DF$3:DF$105="L"))+SUMPRODUCT((DA$3:DA$105=V45)*(DD$3:DD$105=V46)*(DF$3:DF$105="L"))</f>
        <v>0</v>
      </c>
      <c r="Z46" s="231">
        <f>SUMPRODUCT((DA$3:DA$105=V46)*(DD$3:DD$105=V47)*DB$3:DB$105)+SUMPRODUCT((DA$3:DA$105=V46)*(DD$3:DD$105=V43)*DB$3:DB$105)+SUMPRODUCT((DA$3:DA$105=V46)*(DD$3:DD$105=V44)*DB$3:DB$105)+SUMPRODUCT((DA$3:DA$105=V46)*(DD$3:DD$105=V45)*DB$3:DB$105)+SUMPRODUCT((DA$3:DA$105=V47)*(DD$3:DD$105=V46)*DC$3:DC$105)+SUMPRODUCT((DA$3:DA$105=V43)*(DD$3:DD$105=V46)*DC$3:DC$105)+SUMPRODUCT((DA$3:DA$105=V44)*(DD$3:DD$105=V46)*DC$3:DC$105)+SUMPRODUCT((DA$3:DA$105=V45)*(DD$3:DD$105=V46)*DC$3:DC$105)</f>
        <v>0</v>
      </c>
      <c r="AA46" s="231">
        <f>SUMPRODUCT((DA$3:DA$105=V46)*(DD$3:DD$105=V47)*DC$3:DC$105)+SUMPRODUCT((DA$3:DA$105=V46)*(DD$3:DD$105=V43)*DC$3:DC$105)+SUMPRODUCT((DA$3:DA$105=V46)*(DD$3:DD$105=V44)*DC$3:DC$105)+SUMPRODUCT((DA$3:DA$105=V46)*(DD$3:DD$105=V45)*DC$3:DC$105)+SUMPRODUCT((DA$3:DA$105=V47)*(DD$3:DD$105=V46)*DB$3:DB$105)+SUMPRODUCT((DA$3:DA$105=V43)*(DD$3:DD$105=V46)*DB$3:DB$105)+SUMPRODUCT((DA$3:DA$105=V44)*(DD$3:DD$105=V46)*DB$3:DB$105)+SUMPRODUCT((DA$3:DA$105=V45)*(DD$3:DD$105=V46)*DB$3:DB$105)</f>
        <v>0</v>
      </c>
      <c r="AB46" s="231">
        <f>Z46-AA46+1000</f>
        <v>1000</v>
      </c>
      <c r="AC46" s="231">
        <f t="shared" si="80"/>
        <v>0</v>
      </c>
      <c r="AD46" s="231">
        <f>IF(V46&lt;&gt;"",VLOOKUP(V46,C$4:I$52,7,FALSE),"")</f>
        <v>1000</v>
      </c>
      <c r="AE46" s="231">
        <f>IF(V46&lt;&gt;"",VLOOKUP(V46,C$4:I$52,5,FALSE),"")</f>
        <v>0</v>
      </c>
      <c r="AF46" s="231">
        <f>IF(V46&lt;&gt;"",VLOOKUP(V46,C$4:K$52,9,FALSE),"")</f>
        <v>-109</v>
      </c>
      <c r="AG46" s="231">
        <f t="shared" si="81"/>
        <v>0</v>
      </c>
      <c r="AH46" s="231">
        <f>IF(V46&lt;&gt;"",RANK(AG46,AG$43:AG$47),"")</f>
        <v>1</v>
      </c>
      <c r="AI46" s="231">
        <f>IF(V46&lt;&gt;"",SUMPRODUCT((AG$43:AG$47=AG46)*(AB$43:AB$47&gt;AB46)),"")</f>
        <v>0</v>
      </c>
      <c r="AJ46" s="231">
        <f>IF(V46&lt;&gt;"",SUMPRODUCT((AG$43:AG$47=AG46)*(AB$43:AB$47=AB46)*(Z$43:Z$47&gt;Z46)),"")</f>
        <v>0</v>
      </c>
      <c r="AK46" s="231">
        <f>IF(V46&lt;&gt;"",SUMPRODUCT((AG$43:AG$47=AG46)*(AB$43:AB$47=AB46)*(Z$43:Z$47=Z46)*(AD$43:AD$47&gt;AD46)),"")</f>
        <v>0</v>
      </c>
      <c r="AL46" s="231">
        <f>IF(V46&lt;&gt;"",SUMPRODUCT((AG$43:AG$47=AG46)*(AB$43:AB$47=AB46)*(Z$43:Z$47=Z46)*(AD$43:AD$47=AD46)*(AE$43:AE$47&gt;AE46)),"")</f>
        <v>0</v>
      </c>
      <c r="AM46" s="231">
        <f>IF(V46&lt;&gt;"",SUMPRODUCT((AG$43:AG$47=AG46)*(AB$43:AB$47=AB46)*(Z$43:Z$47=Z46)*(AD$43:AD$47=AD46)*(AE$43:AE$47=AE46)*(AF$43:AF$47&gt;AF46)),"")</f>
        <v>0</v>
      </c>
      <c r="AN46" s="231">
        <f>IF(V46&lt;&gt;"",IF(AN125&lt;&gt;"",IF(U121=3,AN125,AN125+U121),SUM(AH46:AM46)),"")</f>
        <v>1</v>
      </c>
      <c r="AO46" s="231" t="str">
        <f>IF(V46&lt;&gt;"",INDEX(V$43:V$47,MATCH(4,AN$43:AN$47,0),0),"")</f>
        <v>New Zealand</v>
      </c>
      <c r="AP46" s="231" t="str">
        <f>IF(R45&lt;&gt;"",R45,"")</f>
        <v/>
      </c>
      <c r="AQ46" s="231" t="str">
        <f>IF(AP46&lt;&gt;"",SUMPRODUCT((DA$3:DA$105=AP46)*(DD$3:DD$105=AP47)*(DE$3:DE$105="W"))+SUMPRODUCT((DA$3:DA$105=AP46)*(DD$3:DD$105=AP44)*(DE$3:DE$105="W"))+SUMPRODUCT((DA$3:DA$105=AP46)*(DD$3:DD$105=AP45)*(DE$3:DE$105="W"))+SUMPRODUCT((DA$3:DA$105=AP47)*(DD$3:DD$105=AP46)*(DF$3:DF$105="W"))+SUMPRODUCT((DA$3:DA$105=AP44)*(DD$3:DD$105=AP46)*(DF$3:DF$105="W"))+SUMPRODUCT((DA$3:DA$105=AP45)*(DD$3:DD$105=AP46)*(DF$3:DF$105="W")),"")</f>
        <v/>
      </c>
      <c r="AR46" s="231" t="str">
        <f>IF(AP46&lt;&gt;"",SUMPRODUCT((DA$3:DA$105=AP46)*(DD$3:DD$105=AP47)*(DE$3:DE$105="D"))+SUMPRODUCT((DA$3:DA$105=AP46)*(DD$3:DD$105=AP44)*(DE$3:DE$105="D"))+SUMPRODUCT((DA$3:DA$105=AP46)*(DD$3:DD$105=AP45)*(DE$3:DE$105="D"))+SUMPRODUCT((DA$3:DA$105=AP47)*(DD$3:DD$105=AP46)*(DE$3:DE$105="D"))+SUMPRODUCT((DA$3:DA$105=AP44)*(DD$3:DD$105=AP46)*(DE$3:DE$105="D"))+SUMPRODUCT((DA$3:DA$105=AP45)*(DD$3:DD$105=AP46)*(DE$3:DE$105="D")),"")</f>
        <v/>
      </c>
      <c r="AS46" s="231" t="str">
        <f>IF(AP46&lt;&gt;"",SUMPRODUCT((DA$3:DA$105=AP46)*(DD$3:DD$105=AP47)*(DE$3:DE$105="L"))+SUMPRODUCT((DA$3:DA$105=AP46)*(DD$3:DD$105=AP44)*(DE$3:DE$105="L"))+SUMPRODUCT((DA$3:DA$105=AP46)*(DD$3:DD$105=AP45)*(DE$3:DE$105="L"))+SUMPRODUCT((DA$3:DA$105=AP47)*(DD$3:DD$105=AP46)*(DF$3:DF$105="L"))+SUMPRODUCT((DA$3:DA$105=AP44)*(DD$3:DD$105=AP46)*(DF$3:DF$105="L"))+SUMPRODUCT((DA$3:DA$105=AP45)*(DD$3:DD$105=AP46)*(DF$3:DF$105="L")),"")</f>
        <v/>
      </c>
      <c r="AT46" s="231">
        <f>SUMPRODUCT((DA$3:DA$105=AP46)*(DD$3:DD$105=AP47)*DB$3:DB$105)+SUMPRODUCT((DA$3:DA$105=AP46)*(DD$3:DD$105=AP43)*DB$3:DB$105)+SUMPRODUCT((DA$3:DA$105=AP46)*(DD$3:DD$105=AP44)*DB$3:DB$105)+SUMPRODUCT((DA$3:DA$105=AP46)*(DD$3:DD$105=AP45)*DB$3:DB$105)+SUMPRODUCT((DA$3:DA$105=AP47)*(DD$3:DD$105=AP46)*DC$3:DC$105)+SUMPRODUCT((DA$3:DA$105=AP43)*(DD$3:DD$105=AP46)*DC$3:DC$105)+SUMPRODUCT((DA$3:DA$105=AP44)*(DD$3:DD$105=AP46)*DC$3:DC$105)+SUMPRODUCT((DA$3:DA$105=AP45)*(DD$3:DD$105=AP46)*DC$3:DC$105)</f>
        <v>0</v>
      </c>
      <c r="AU46" s="231">
        <f>SUMPRODUCT((DA$3:DA$105=AP46)*(DD$3:DD$105=AP47)*DC$3:DC$105)+SUMPRODUCT((DA$3:DA$105=AP46)*(DD$3:DD$105=AP43)*DC$3:DC$105)+SUMPRODUCT((DA$3:DA$105=AP46)*(DD$3:DD$105=AP44)*DC$3:DC$105)+SUMPRODUCT((DA$3:DA$105=AP46)*(DD$3:DD$105=AP45)*DC$3:DC$105)+SUMPRODUCT((DA$3:DA$105=AP47)*(DD$3:DD$105=AP46)*DB$3:DB$105)+SUMPRODUCT((DA$3:DA$105=AP43)*(DD$3:DD$105=AP46)*DB$3:DB$105)+SUMPRODUCT((DA$3:DA$105=AP44)*(DD$3:DD$105=AP46)*DB$3:DB$105)+SUMPRODUCT((DA$3:DA$105=AP45)*(DD$3:DD$105=AP46)*DB$3:DB$105)</f>
        <v>0</v>
      </c>
      <c r="AV46" s="231">
        <f>AT46-AU46+1000</f>
        <v>1000</v>
      </c>
      <c r="AW46" s="231" t="str">
        <f t="shared" si="84"/>
        <v/>
      </c>
      <c r="AX46" s="231" t="str">
        <f>IF(AP46&lt;&gt;"",VLOOKUP(AP46,C$4:I$52,7,FALSE),"")</f>
        <v/>
      </c>
      <c r="AY46" s="231" t="str">
        <f>IF(AP46&lt;&gt;"",VLOOKUP(AP46,C$4:I$52,5,FALSE),"")</f>
        <v/>
      </c>
      <c r="AZ46" s="231" t="str">
        <f>IF(AP46&lt;&gt;"",VLOOKUP(AP46,C$4:K$52,9,FALSE),"")</f>
        <v/>
      </c>
      <c r="BA46" s="231" t="str">
        <f t="shared" si="85"/>
        <v/>
      </c>
      <c r="BB46" s="231" t="str">
        <f>IF(AP46&lt;&gt;"",RANK(BA46,BA$43:BA$46),"")</f>
        <v/>
      </c>
      <c r="BC46" s="231" t="str">
        <f>IF(AP46&lt;&gt;"",SUMPRODUCT((BA$43:BA$47=BA46)*(AV$43:AV$47&gt;AV46)),"")</f>
        <v/>
      </c>
      <c r="BD46" s="231" t="str">
        <f>IF(AP46&lt;&gt;"",SUMPRODUCT((BA$43:BA$47=BA46)*(AV$43:AV$47=AV46)*(AT$43:AT$47&gt;AT46)),"")</f>
        <v/>
      </c>
      <c r="BE46" s="231" t="str">
        <f>IF(AP46&lt;&gt;"",SUMPRODUCT((BA$43:BA$47=BA46)*(AV$43:AV$47=AV46)*(AT$43:AT$47=AT46)*(AX$43:AX$47&gt;AX46)),"")</f>
        <v/>
      </c>
      <c r="BF46" s="231" t="str">
        <f>IF(AP46&lt;&gt;"",SUMPRODUCT((BA$43:BA$47=BA46)*(AV$43:AV$47=AV46)*(AT$43:AT$47=AT46)*(AX$43:AX$47=AX46)*(AY$43:AY$47&gt;AY46)),"")</f>
        <v/>
      </c>
      <c r="BG46" s="231" t="str">
        <f>IF(AP46&lt;&gt;"",SUMPRODUCT((BA$43:BA$47=BA46)*(AV$43:AV$47=AV46)*(AT$43:AT$47=AT46)*(AX$43:AX$47=AX46)*(AY$43:AY$47=AY46)*(AZ$43:AZ$47&gt;AZ46)),"")</f>
        <v/>
      </c>
      <c r="BH46" s="231" t="str">
        <f>IF(AP46&lt;&gt;"",IF(BH125&lt;&gt;"",IF(AO$121=3,BH125,BH125+AO121),SUM(BB46:BG46)+1),"")</f>
        <v/>
      </c>
      <c r="BI46" s="231" t="str">
        <f>IF(AP46&lt;&gt;"",INDEX(AP$44:AP$47,MATCH(4,BH$44:BH$47,0),0),"")</f>
        <v/>
      </c>
      <c r="BJ46" s="231" t="str">
        <f>IF(S44&lt;&gt;"",S44,"")</f>
        <v/>
      </c>
      <c r="BK46" s="231">
        <f>SUMPRODUCT((DA$3:DA$105=BJ46)*(DD$3:DD$105=BJ47)*(DE$3:DE$105="W"))+SUMPRODUCT((DA$3:DA$105=BJ46)*(DD$3:DD$105=BJ87)*(DE$3:DE$105="W"))+SUMPRODUCT((DA$3:DA$105=BJ46)*(DD$3:DD$105=BJ45)*(DE$3:DE$105="W"))+SUMPRODUCT((DA$3:DA$105=BJ47)*(DD$3:DD$105=BJ46)*(DF$3:DF$105="W"))+SUMPRODUCT((DA$3:DA$105=BJ87)*(DD$3:DD$105=BJ46)*(DF$3:DF$105="W"))+SUMPRODUCT((DA$3:DA$105=BJ45)*(DD$3:DD$105=BJ46)*(DF$3:DF$105="W"))</f>
        <v>0</v>
      </c>
      <c r="BL46" s="231">
        <f>SUMPRODUCT((DA$3:DA$105=BJ46)*(DD$3:DD$105=BJ47)*(DE$3:DE$105="D"))+SUMPRODUCT((DA$3:DA$105=BJ46)*(DD$3:DD$105=BJ87)*(DE$3:DE$105="D"))+SUMPRODUCT((DA$3:DA$105=BJ46)*(DD$3:DD$105=BJ45)*(DE$3:DE$105="D"))+SUMPRODUCT((DA$3:DA$105=BJ47)*(DD$3:DD$105=BJ46)*(DE$3:DE$105="D"))+SUMPRODUCT((DA$3:DA$105=BJ87)*(DD$3:DD$105=BJ46)*(DE$3:DE$105="D"))+SUMPRODUCT((DA$3:DA$105=BJ45)*(DD$3:DD$105=BJ46)*(DE$3:DE$105="D"))</f>
        <v>0</v>
      </c>
      <c r="BM46" s="231">
        <f>SUMPRODUCT((DA$3:DA$105=BJ46)*(DD$3:DD$105=BJ47)*(DE$3:DE$105="L"))+SUMPRODUCT((DA$3:DA$105=BJ46)*(DD$3:DD$105=BJ87)*(DE$3:DE$105="L"))+SUMPRODUCT((DA$3:DA$105=BJ46)*(DD$3:DD$105=BJ45)*(DE$3:DE$105="L"))+SUMPRODUCT((DA$3:DA$105=BJ47)*(DD$3:DD$105=BJ46)*(DF$3:DF$105="L"))+SUMPRODUCT((DA$3:DA$105=BJ87)*(DD$3:DD$105=BJ46)*(DF$3:DF$105="L"))+SUMPRODUCT((DA$3:DA$105=BJ45)*(DD$3:DD$105=BJ46)*(DF$3:DF$105="L"))</f>
        <v>0</v>
      </c>
      <c r="BN46" s="231">
        <f>SUMPRODUCT((DA$3:DA$105=BJ46)*(DD$3:DD$105=BJ47)*DB$3:DB$105)+SUMPRODUCT((DA$3:DA$105=BJ46)*(DD$3:DD$105=BJ43)*DB$3:DB$105)+SUMPRODUCT((DA$3:DA$105=BJ46)*(DD$3:DD$105=BJ44)*DB$3:DB$105)+SUMPRODUCT((DA$3:DA$105=BJ46)*(DD$3:DD$105=BJ45)*DB$3:DB$105)+SUMPRODUCT((DA$3:DA$105=BJ47)*(DD$3:DD$105=BJ46)*DC$3:DC$105)+SUMPRODUCT((DA$3:DA$105=BJ43)*(DD$3:DD$105=BJ46)*DC$3:DC$105)+SUMPRODUCT((DA$3:DA$105=BJ44)*(DD$3:DD$105=BJ46)*DC$3:DC$105)+SUMPRODUCT((DA$3:DA$105=BJ45)*(DD$3:DD$105=BJ46)*DC$3:DC$105)</f>
        <v>0</v>
      </c>
      <c r="BO46" s="231">
        <f>SUMPRODUCT((DA$3:DA$105=BJ46)*(DD$3:DD$105=BJ47)*DC$3:DC$105)+SUMPRODUCT((DA$3:DA$105=BJ46)*(DD$3:DD$105=BJ43)*DC$3:DC$105)+SUMPRODUCT((DA$3:DA$105=BJ46)*(DD$3:DD$105=BJ44)*DC$3:DC$105)+SUMPRODUCT((DA$3:DA$105=BJ46)*(DD$3:DD$105=BJ45)*DC$3:DC$105)+SUMPRODUCT((DA$3:DA$105=BJ47)*(DD$3:DD$105=BJ46)*DB$3:DB$105)+SUMPRODUCT((DA$3:DA$105=BJ43)*(DD$3:DD$105=BJ46)*DB$3:DB$105)+SUMPRODUCT((DA$3:DA$105=BJ44)*(DD$3:DD$105=BJ46)*DB$3:DB$105)+SUMPRODUCT((DA$3:DA$105=BJ45)*(DD$3:DD$105=BJ46)*DB$3:DB$105)</f>
        <v>0</v>
      </c>
      <c r="BP46" s="231">
        <f>BN46-BO46+1000</f>
        <v>1000</v>
      </c>
      <c r="BQ46" s="231" t="str">
        <f t="shared" si="86"/>
        <v/>
      </c>
      <c r="BR46" s="231" t="str">
        <f>IF(BJ46&lt;&gt;"",VLOOKUP(BJ46,C$4:I$52,7,FALSE),"")</f>
        <v/>
      </c>
      <c r="BS46" s="231" t="str">
        <f>IF(BJ46&lt;&gt;"",VLOOKUP(BJ46,C$4:I$52,5,FALSE),"")</f>
        <v/>
      </c>
      <c r="BT46" s="231" t="str">
        <f>IF(BJ46&lt;&gt;"",VLOOKUP(BJ46,C$4:K$52,9,FALSE),"")</f>
        <v/>
      </c>
      <c r="BU46" s="231" t="str">
        <f t="shared" si="87"/>
        <v/>
      </c>
      <c r="BV46" s="231" t="str">
        <f>IF(BJ46&lt;&gt;"",RANK(BU46,BU$44:BU$46),"")</f>
        <v/>
      </c>
      <c r="BW46" s="231" t="str">
        <f>IF(BJ46&lt;&gt;"",SUMPRODUCT((BU$43:BU$47=BU46)*(BP$43:BP$47&gt;BP46)),"")</f>
        <v/>
      </c>
      <c r="BX46" s="231" t="str">
        <f>IF(BJ46&lt;&gt;"",SUMPRODUCT((BU$43:BU$47=BU46)*(BP$43:BP$47=BP46)*(BN$43:BN$47&gt;BN46)),"")</f>
        <v/>
      </c>
      <c r="BY46" s="231" t="str">
        <f>IF(BJ46&lt;&gt;"",SUMPRODUCT((BU$43:BU$47=BU46)*(BP$43:BP$47=BP46)*(BN$43:BN$47=BN46)*(BR$43:BR$47&gt;BR46)),"")</f>
        <v/>
      </c>
      <c r="BZ46" s="231" t="str">
        <f>IF(BJ46&lt;&gt;"",SUMPRODUCT((BU$43:BU$47=BU46)*(BP$43:BP$47=BP46)*(BN$43:BN$47=BN46)*(BR$43:BR$47=BR46)*(BS$43:BS$47&gt;BS46)),"")</f>
        <v/>
      </c>
      <c r="CA46" s="231" t="str">
        <f>IF(BJ46&lt;&gt;"",SUMPRODUCT((BU$43:BU$47=BU46)*(BP$43:BP$47=BP46)*(BN$43:BN$47=BN46)*(BR$43:BR$47=BR46)*(BS$43:BS$47=BS46)*(BT$43:BT$47&gt;BT46)),"")</f>
        <v/>
      </c>
      <c r="CB46" s="231" t="str">
        <f>IF(BJ46&lt;&gt;"",SUM(BV46:CA46)+2,"")</f>
        <v/>
      </c>
      <c r="CC46" s="231" t="str">
        <f>IF(BJ46&lt;&gt;"",INDEX(BJ$45:BJ$47,MATCH(4,CB$45:CB$47,0),0),"")</f>
        <v/>
      </c>
      <c r="CD46" s="231" t="str">
        <f>IF(T43&lt;&gt;"",T43,"")</f>
        <v/>
      </c>
      <c r="CE46" s="231">
        <f>SUMPRODUCT((DA$3:DA$105=CD46)*(DD$3:DD$105=CD47)*(DE$3:DE$105="W"))+SUMPRODUCT((DA$3:DA$105=CD46)*(DD$3:DD$105=CD87)*(DE$3:DE$105="W"))+SUMPRODUCT((DA$3:DA$105=CD46)*(DD$3:DD$105=CD88)*(DE$3:DE$105="W"))+SUMPRODUCT((DA$3:DA$105=CD47)*(DD$3:DD$105=CD46)*(DF$3:DF$105="W"))+SUMPRODUCT((DA$3:DA$105=CD87)*(DD$3:DD$105=CD46)*(DF$3:DF$105="W"))+SUMPRODUCT((DA$3:DA$105=CD88)*(DD$3:DD$105=CD46)*(DF$3:DF$105="W"))</f>
        <v>0</v>
      </c>
      <c r="CF46" s="231">
        <f>SUMPRODUCT((DA$3:DA$105=CD46)*(DD$3:DD$105=CD47)*(DE$3:DE$105="D"))+SUMPRODUCT((DA$3:DA$105=CD46)*(DD$3:DD$105=CD87)*(DE$3:DE$105="D"))+SUMPRODUCT((DA$3:DA$105=CD46)*(DD$3:DD$105=CD88)*(DE$3:DE$105="D"))+SUMPRODUCT((DA$3:DA$105=CD47)*(DD$3:DD$105=CD46)*(DE$3:DE$105="D"))+SUMPRODUCT((DA$3:DA$105=CD87)*(DD$3:DD$105=CD46)*(DE$3:DE$105="D"))+SUMPRODUCT((DA$3:DA$105=CD88)*(DD$3:DD$105=CD46)*(DE$3:DE$105="D"))</f>
        <v>0</v>
      </c>
      <c r="CG46" s="231">
        <f>SUMPRODUCT((DA$3:DA$105=CD46)*(DD$3:DD$105=CD47)*(DE$3:DE$105="L"))+SUMPRODUCT((DA$3:DA$105=CD46)*(DD$3:DD$105=CD87)*(DE$3:DE$105="L"))+SUMPRODUCT((DA$3:DA$105=CD46)*(DD$3:DD$105=CD88)*(DE$3:DE$105="L"))+SUMPRODUCT((DA$3:DA$105=CD47)*(DD$3:DD$105=CD46)*(DF$3:DF$105="L"))+SUMPRODUCT((DA$3:DA$105=CD87)*(DD$3:DD$105=CD46)*(DF$3:DF$105="L"))+SUMPRODUCT((DA$3:DA$105=CD88)*(DD$3:DD$105=CD46)*(DF$3:DF$105="L"))</f>
        <v>0</v>
      </c>
      <c r="CH46" s="231">
        <f>SUMPRODUCT((DA$3:DA$105=CD46)*(DD$3:DD$105=CD47)*DB$3:DB$105)+SUMPRODUCT((DA$3:DA$105=CD46)*(DD$3:DD$105=CD43)*DB$3:DB$105)+SUMPRODUCT((DA$3:DA$105=CD46)*(DD$3:DD$105=CD44)*DB$3:DB$105)+SUMPRODUCT((DA$3:DA$105=CD46)*(DD$3:DD$105=CD45)*DB$3:DB$105)+SUMPRODUCT((DA$3:DA$105=CD47)*(DD$3:DD$105=CD46)*DC$3:DC$105)+SUMPRODUCT((DA$3:DA$105=CD43)*(DD$3:DD$105=CD46)*DC$3:DC$105)+SUMPRODUCT((DA$3:DA$105=CD44)*(DD$3:DD$105=CD46)*DC$3:DC$105)+SUMPRODUCT((DA$3:DA$105=CD45)*(DD$3:DD$105=CD46)*DC$3:DC$105)</f>
        <v>0</v>
      </c>
      <c r="CI46" s="231">
        <f>SUMPRODUCT((DA$3:DA$105=CD46)*(DD$3:DD$105=CD47)*DC$3:DC$105)+SUMPRODUCT((DA$3:DA$105=CD46)*(DD$3:DD$105=CD43)*DC$3:DC$105)+SUMPRODUCT((DA$3:DA$105=CD46)*(DD$3:DD$105=CD44)*DC$3:DC$105)+SUMPRODUCT((DA$3:DA$105=CD46)*(DD$3:DD$105=CD45)*DC$3:DC$105)+SUMPRODUCT((DA$3:DA$105=CD47)*(DD$3:DD$105=CD46)*DB$3:DB$105)+SUMPRODUCT((DA$3:DA$105=CD43)*(DD$3:DD$105=CD46)*DB$3:DB$105)+SUMPRODUCT((DA$3:DA$105=CD44)*(DD$3:DD$105=CD46)*DB$3:DB$105)+SUMPRODUCT((DA$3:DA$105=CD45)*(DD$3:DD$105=CD46)*DB$3:DB$105)</f>
        <v>0</v>
      </c>
      <c r="CJ46" s="231">
        <f>CH46-CI46+1000</f>
        <v>1000</v>
      </c>
      <c r="CK46" s="231" t="str">
        <f t="shared" ref="CK46" si="88">IF(CD46&lt;&gt;"",CE46*3+CF46*1,"")</f>
        <v/>
      </c>
      <c r="CL46" s="231" t="str">
        <f>IF(CD46&lt;&gt;"",VLOOKUP(CD46,C$4:I$52,7,FALSE),"")</f>
        <v/>
      </c>
      <c r="CM46" s="231" t="str">
        <f>IF(CD46&lt;&gt;"",VLOOKUP(CD46,C$4:I$52,5,FALSE),"")</f>
        <v/>
      </c>
      <c r="CN46" s="231" t="str">
        <f>IF(CD46&lt;&gt;"",VLOOKUP(CD46,C$4:K$52,9,FALSE),"")</f>
        <v/>
      </c>
      <c r="CO46" s="231" t="str">
        <f t="shared" ref="CO46" si="89">CK46</f>
        <v/>
      </c>
      <c r="CP46" s="231" t="str">
        <f>IF(CD46&lt;&gt;"",RANK(CO46,AG43:AG47),"")</f>
        <v/>
      </c>
      <c r="CQ46" s="231" t="str">
        <f>IF(CD46&lt;&gt;"",SUMPRODUCT((CO43:CO47=CO46)*(CJ43:CJ47&gt;CJ46)),"")</f>
        <v/>
      </c>
      <c r="CR46" s="231" t="str">
        <f>IF(CD46&lt;&gt;"",SUMPRODUCT((CO43:CO47=CO46)*(CJ43:CJ47=CJ46)*(CH43:CH47&gt;CH46)),"")</f>
        <v/>
      </c>
      <c r="CS46" s="231" t="str">
        <f>IF(CD46&lt;&gt;"",SUMPRODUCT((CO43:CO47=CO46)*(CJ43:CJ47=CJ46)*(CH43:CH47=CH46)*(CL43:CL47&gt;CL46)),"")</f>
        <v/>
      </c>
      <c r="CT46" s="231" t="str">
        <f>IF(CD46&lt;&gt;"",SUMPRODUCT((CO43:CO47=CO46)*(CJ43:CJ47=CJ46)*(CH43:CH47=CH46)*(CL43:CL47=CL46)*(CM43:CM47&gt;CM46)),"")</f>
        <v/>
      </c>
      <c r="CU46" s="231" t="str">
        <f>IF(CD46&lt;&gt;"",SUMPRODUCT((CO43:CO47=CO46)*(CJ43:CJ47=CJ46)*(CH43:CH47=CH46)*(CL43:CL47=CL46)*(CM43:CM47=CM46)*(CN43:CN47&gt;CN46)),"")</f>
        <v/>
      </c>
      <c r="CV46" s="231" t="str">
        <f>IF(CD46&lt;&gt;"",SUM(CP46:CU46)+3,"")</f>
        <v/>
      </c>
      <c r="CW46" s="231" t="str">
        <f>IF(CD46&lt;&gt;"",IF(CV46=4,CD46,CD47),"")</f>
        <v/>
      </c>
      <c r="CX46" s="231" t="str">
        <f>IF(CW46&lt;&gt;"",CW46,IF(CC46&lt;&gt;"",CC46,IF(BI46&lt;&gt;"",BI46,IF(AO46&lt;&gt;"",AO46,O46))))</f>
        <v>New Zealand</v>
      </c>
      <c r="CY46" s="231">
        <v>4</v>
      </c>
      <c r="DA46" s="234" t="str">
        <f>Matches!H47</f>
        <v>Jordan</v>
      </c>
      <c r="DB46" s="234">
        <f>IF($DA$2&lt;&gt;"",IF(AND(Matches!J47&lt;&gt;"",Matches!K47&lt;&gt;""),Matches!J47,0),"")</f>
        <v>0</v>
      </c>
      <c r="DC46" s="234">
        <f>IF($DA$2&lt;&gt;"",IF(AND(Matches!J47&lt;&gt;"",Matches!K47&lt;&gt;""),Matches!K47,0),"")</f>
        <v>0</v>
      </c>
      <c r="DD46" s="234" t="str">
        <f>Matches!M47</f>
        <v>Algeria</v>
      </c>
      <c r="DE46" s="234" t="str">
        <f>IF(AND(Matches!J47&lt;&gt;"",Matches!K47&lt;&gt;""),IF(DB46&gt;DC46,"W",IF(DB46=DC46,"D","L")),"")</f>
        <v/>
      </c>
      <c r="DF46" s="231" t="str">
        <f t="shared" si="0"/>
        <v/>
      </c>
      <c r="DQ46" s="238"/>
      <c r="DR46" s="239"/>
      <c r="DS46" s="240" t="str">
        <f t="shared" si="16"/>
        <v>Jordan</v>
      </c>
      <c r="DT46" s="241" t="s">
        <v>673</v>
      </c>
      <c r="DU46" s="240"/>
      <c r="DW46" s="242" t="s">
        <v>98</v>
      </c>
      <c r="DX46" s="230"/>
      <c r="DY46" s="243">
        <v>40</v>
      </c>
      <c r="DZ46" s="244">
        <f t="shared" si="14"/>
        <v>46194.875</v>
      </c>
      <c r="EA46" s="247">
        <v>46194.875</v>
      </c>
      <c r="EB46" s="246">
        <f t="shared" si="75"/>
        <v>46194.875</v>
      </c>
      <c r="EC46" s="247"/>
      <c r="EE46" s="233" t="str">
        <f>INDEX(Language!$A$1:$K$177,MATCH(Setup!B47,Language!$B$1:$B$177,0),MATCH(Setup!$C$5,Language!$A$1:$J$1,0))</f>
        <v>Jordan</v>
      </c>
    </row>
    <row r="47" spans="1:135" ht="13.5" customHeight="1" x14ac:dyDescent="0.25">
      <c r="DA47" s="234" t="str">
        <f>Matches!H48</f>
        <v>England</v>
      </c>
      <c r="DB47" s="234">
        <f>IF($DA$2&lt;&gt;"",IF(AND(Matches!J48&lt;&gt;"",Matches!K48&lt;&gt;""),Matches!J48,0),"")</f>
        <v>0</v>
      </c>
      <c r="DC47" s="234">
        <f>IF($DA$2&lt;&gt;"",IF(AND(Matches!J48&lt;&gt;"",Matches!K48&lt;&gt;""),Matches!K48,0),"")</f>
        <v>0</v>
      </c>
      <c r="DD47" s="234" t="str">
        <f>Matches!M48</f>
        <v>Ghana</v>
      </c>
      <c r="DE47" s="234" t="str">
        <f>IF(AND(Matches!J48&lt;&gt;"",Matches!K48&lt;&gt;""),IF(DB47&gt;DC47,"W",IF(DB47=DC47,"D","L")),"")</f>
        <v/>
      </c>
      <c r="DF47" s="231" t="str">
        <f t="shared" si="0"/>
        <v/>
      </c>
      <c r="DQ47" s="238" t="s">
        <v>517</v>
      </c>
      <c r="DR47" s="239"/>
      <c r="DS47" s="240" t="str">
        <f t="shared" si="16"/>
        <v>Portugal</v>
      </c>
      <c r="DT47" s="241" t="s">
        <v>674</v>
      </c>
      <c r="DU47" s="240"/>
      <c r="DW47" s="242" t="s">
        <v>99</v>
      </c>
      <c r="DX47" s="230"/>
      <c r="DY47" s="243">
        <v>41</v>
      </c>
      <c r="DZ47" s="244">
        <f t="shared" si="14"/>
        <v>46195.833333333336</v>
      </c>
      <c r="EA47" s="247">
        <v>46195.833333333336</v>
      </c>
      <c r="EB47" s="246">
        <f t="shared" si="75"/>
        <v>46195.833333333336</v>
      </c>
      <c r="EC47" s="247"/>
      <c r="EE47" s="233" t="str">
        <f>INDEX(Language!$A$1:$K$177,MATCH(Setup!B48,Language!$B$1:$B$177,0),MATCH(Setup!$C$5,Language!$A$1:$J$1,0))</f>
        <v>Portugal</v>
      </c>
    </row>
    <row r="48" spans="1:135" ht="13.5" customHeight="1" x14ac:dyDescent="0.25">
      <c r="DA48" s="234" t="str">
        <f>Matches!H49</f>
        <v>Panama</v>
      </c>
      <c r="DB48" s="234">
        <f>IF($DA$2&lt;&gt;"",IF(AND(Matches!J49&lt;&gt;"",Matches!K49&lt;&gt;""),Matches!J49,0),"")</f>
        <v>0</v>
      </c>
      <c r="DC48" s="234">
        <f>IF($DA$2&lt;&gt;"",IF(AND(Matches!J49&lt;&gt;"",Matches!K49&lt;&gt;""),Matches!K49,0),"")</f>
        <v>0</v>
      </c>
      <c r="DD48" s="234" t="str">
        <f>Matches!M49</f>
        <v>Croatia</v>
      </c>
      <c r="DE48" s="234" t="str">
        <f>IF(AND(Matches!J49&lt;&gt;"",Matches!K49&lt;&gt;""),IF(DB48&gt;DC48,"W",IF(DB48=DC48,"D","L")),"")</f>
        <v/>
      </c>
      <c r="DF48" s="231" t="str">
        <f t="shared" si="0"/>
        <v/>
      </c>
      <c r="DQ48" s="238"/>
      <c r="DR48" s="239"/>
      <c r="DS48" s="240" t="str">
        <f t="shared" si="16"/>
        <v>DR Congo</v>
      </c>
      <c r="DT48" s="241" t="s">
        <v>675</v>
      </c>
      <c r="DU48" s="240"/>
      <c r="DW48" s="242" t="s">
        <v>100</v>
      </c>
      <c r="DX48" s="230"/>
      <c r="DY48" s="243">
        <v>42</v>
      </c>
      <c r="DZ48" s="244">
        <f t="shared" si="14"/>
        <v>46195.708333333336</v>
      </c>
      <c r="EA48" s="247">
        <v>46195.708333333336</v>
      </c>
      <c r="EB48" s="246">
        <f t="shared" si="75"/>
        <v>46195.708333333336</v>
      </c>
      <c r="EC48" s="247"/>
      <c r="EE48" s="233" t="str">
        <f>INDEX(Language!$A$1:$K$177,MATCH(Setup!B49,Language!$B$1:$B$177,0),MATCH(Setup!$C$5,Language!$A$1:$J$1,0))</f>
        <v>DR Congo</v>
      </c>
    </row>
    <row r="49" spans="1:135" ht="13.5" customHeight="1" x14ac:dyDescent="0.25">
      <c r="A49" s="230">
        <f>Setup!F36+100</f>
        <v>101</v>
      </c>
      <c r="B49" s="231">
        <f>VLOOKUP(C49,CX$49:CY$52,2,FALSE)</f>
        <v>1</v>
      </c>
      <c r="C49" s="232" t="str">
        <f>EE35</f>
        <v>Spain</v>
      </c>
      <c r="D49" s="231">
        <f>SUMPRODUCT((DA$3:DA$105=C49)*(DE$3:DE$105="W"))+SUMPRODUCT((DD$3:DD$105=C49)*(DF$3:DF$105="W"))</f>
        <v>0</v>
      </c>
      <c r="E49" s="231">
        <f>SUMPRODUCT((DA$3:DA$105=C49)*(DE$3:DE$105="D"))+SUMPRODUCT((DD$3:DD$105=C49)*(DF$3:DF$105="D"))</f>
        <v>0</v>
      </c>
      <c r="F49" s="231">
        <f>SUMPRODUCT((DA$3:DA$105=C49)*(DE$3:DE$105="L"))+SUMPRODUCT((DD$3:DD$105=C49)*(DF$3:DF$105="L"))</f>
        <v>0</v>
      </c>
      <c r="G49" s="231">
        <f>SUMIF(DA$3:DA$123,C49,DB$3:DB$123)+SUMIF(DD$3:DD$123,C49,DC$3:DC$123)</f>
        <v>0</v>
      </c>
      <c r="H49" s="231">
        <f>SUMIF(DD$3:DD$123,C49,DB$3:DB$123)+SUMIF(DA$3:DA$123,C49,DC$3:DC$123)</f>
        <v>0</v>
      </c>
      <c r="I49" s="231">
        <f t="shared" ref="I49:I52" si="90">G49-H49+1000</f>
        <v>1000</v>
      </c>
      <c r="J49" s="231">
        <f t="shared" ref="J49:J52" si="91">D49*3+E49*1</f>
        <v>0</v>
      </c>
      <c r="K49" s="231">
        <f>IF(Setup!G36&lt;&gt;"",Setup!G36,-A49)</f>
        <v>-101</v>
      </c>
      <c r="L49" s="231">
        <f>IF(COUNTIF(J$49:J$52,4)&lt;&gt;4,RANK(J49,J$49:J$52),J128)</f>
        <v>1</v>
      </c>
      <c r="N49" s="231">
        <f>SUMPRODUCT((L$49:L$52=L49)*(K$49:K$52&lt;K49))+L49</f>
        <v>4</v>
      </c>
      <c r="O49" s="232" t="str">
        <f>INDEX(C$49:C$53,MATCH(1,N$49:N$53,0),0)</f>
        <v>Cabo Verde</v>
      </c>
      <c r="P49" s="231">
        <f>INDEX(L$49:L$53,MATCH(O49,C$49:C$53,0),0)</f>
        <v>1</v>
      </c>
      <c r="Q49" s="231" t="str">
        <f>IF(P50=1,O49,"")</f>
        <v>Cabo Verde</v>
      </c>
      <c r="R49" s="231" t="str">
        <f>IF(P51=2,O50,"")</f>
        <v/>
      </c>
      <c r="S49" s="231" t="str">
        <f>IF(P52=3,O51,"")</f>
        <v/>
      </c>
      <c r="T49" s="231" t="str">
        <f>IF(P53=4,O52,"")</f>
        <v/>
      </c>
      <c r="V49" s="231" t="str">
        <f>IF(Q49&lt;&gt;"",Q49,"")</f>
        <v>Cabo Verde</v>
      </c>
      <c r="W49" s="231">
        <f>SUMPRODUCT((DA$3:DA$105=V49)*(DD$3:DD$105=V50)*(DE$3:DE$105="W"))+SUMPRODUCT((DA$3:DA$105=V49)*(DD$3:DD$105=V51)*(DE$3:DE$105="W"))+SUMPRODUCT((DA$3:DA$105=V49)*(DD$3:DD$105=V52)*(DE$3:DE$105="W"))+SUMPRODUCT((DA$3:DA$105=V49)*(DD$3:DD$105=V53)*(DE$3:DE$105="W"))+SUMPRODUCT((DA$3:DA$105=V50)*(DD$3:DD$105=V49)*(DF$3:DF$105="W"))+SUMPRODUCT((DA$3:DA$105=V51)*(DD$3:DD$105=V49)*(DF$3:DF$105="W"))+SUMPRODUCT((DA$3:DA$105=V52)*(DD$3:DD$105=V49)*(DF$3:DF$105="W"))+SUMPRODUCT((DA$3:DA$105=V53)*(DD$3:DD$105=V49)*(DF$3:DF$105="W"))</f>
        <v>0</v>
      </c>
      <c r="X49" s="231">
        <f>SUMPRODUCT((DA$3:DA$105=V49)*(DD$3:DD$105=V50)*(DE$3:DE$105="D"))+SUMPRODUCT((DA$3:DA$105=V49)*(DD$3:DD$105=V51)*(DE$3:DE$105="D"))+SUMPRODUCT((DA$3:DA$105=V49)*(DD$3:DD$105=V52)*(DE$3:DE$105="D"))+SUMPRODUCT((DA$3:DA$105=V49)*(DD$3:DD$105=V53)*(DE$3:DE$105="D"))+SUMPRODUCT((DA$3:DA$105=V50)*(DD$3:DD$105=V49)*(DE$3:DE$105="D"))+SUMPRODUCT((DA$3:DA$105=V51)*(DD$3:DD$105=V49)*(DE$3:DE$105="D"))+SUMPRODUCT((DA$3:DA$105=V52)*(DD$3:DD$105=V49)*(DE$3:DE$105="D"))+SUMPRODUCT((DA$3:DA$105=V53)*(DD$3:DD$105=V49)*(DE$3:DE$105="D"))</f>
        <v>0</v>
      </c>
      <c r="Y49" s="231">
        <f>SUMPRODUCT((DA$3:DA$105=V49)*(DD$3:DD$105=V50)*(DE$3:DE$105="L"))+SUMPRODUCT((DA$3:DA$105=V49)*(DD$3:DD$105=V51)*(DE$3:DE$105="L"))+SUMPRODUCT((DA$3:DA$105=V49)*(DD$3:DD$105=V52)*(DE$3:DE$105="L"))+SUMPRODUCT((DA$3:DA$105=V49)*(DD$3:DD$105=V53)*(DE$3:DE$105="L"))+SUMPRODUCT((DA$3:DA$105=V50)*(DD$3:DD$105=V49)*(DF$3:DF$105="L"))+SUMPRODUCT((DA$3:DA$105=V51)*(DD$3:DD$105=V49)*(DF$3:DF$105="L"))+SUMPRODUCT((DA$3:DA$105=V52)*(DD$3:DD$105=V49)*(DF$3:DF$105="L"))+SUMPRODUCT((DA$3:DA$105=V53)*(DD$3:DD$105=V49)*(DF$3:DF$105="L"))</f>
        <v>0</v>
      </c>
      <c r="Z49" s="231">
        <f>SUMPRODUCT((DA$3:DA$105=V49)*(DD$3:DD$105=V50)*DB$3:DB$105)+SUMPRODUCT((DA$3:DA$105=V49)*(DD$3:DD$105=V51)*DB$3:DB$105)+SUMPRODUCT((DA$3:DA$105=V49)*(DD$3:DD$105=V52)*DB$3:DB$105)+SUMPRODUCT((DA$3:DA$105=V49)*(DD$3:DD$105=V53)*DB$3:DB$105)+SUMPRODUCT((DA$3:DA$105=V50)*(DD$3:DD$105=V49)*DC$3:DC$105)+SUMPRODUCT((DA$3:DA$105=V51)*(DD$3:DD$105=V49)*DC$3:DC$105)+SUMPRODUCT((DA$3:DA$105=V52)*(DD$3:DD$105=V49)*DC$3:DC$105)+SUMPRODUCT((DA$3:DA$105=V53)*(DD$3:DD$105=V49)*DC$3:DC$105)</f>
        <v>0</v>
      </c>
      <c r="AA49" s="231">
        <f>SUMPRODUCT((DA$3:DA$105=V49)*(DD$3:DD$105=V50)*DC$3:DC$105)+SUMPRODUCT((DA$3:DA$105=V49)*(DD$3:DD$105=V51)*DC$3:DC$105)+SUMPRODUCT((DA$3:DA$105=V49)*(DD$3:DD$105=V52)*DC$3:DC$105)+SUMPRODUCT((DA$3:DA$105=V49)*(DD$3:DD$105=V53)*DC$3:DC$105)+SUMPRODUCT((DA$3:DA$105=V50)*(DD$3:DD$105=V49)*DB$3:DB$105)+SUMPRODUCT((DA$3:DA$105=V51)*(DD$3:DD$105=V49)*DB$3:DB$105)+SUMPRODUCT((DA$3:DA$105=V52)*(DD$3:DD$105=V49)*DB$3:DB$105)+SUMPRODUCT((DA$3:DA$105=V53)*(DD$3:DD$105=V49)*DB$3:DB$105)</f>
        <v>0</v>
      </c>
      <c r="AB49" s="231">
        <f>Z49-AA49+1000</f>
        <v>1000</v>
      </c>
      <c r="AC49" s="231">
        <f t="shared" ref="AC49:AC52" si="92">IF(V49&lt;&gt;"",W49*3+X49*1,"")</f>
        <v>0</v>
      </c>
      <c r="AD49" s="231">
        <f>IF(V49&lt;&gt;"",VLOOKUP(V49,C$4:I$52,7,FALSE),"")</f>
        <v>1000</v>
      </c>
      <c r="AE49" s="231">
        <f>IF(V49&lt;&gt;"",VLOOKUP(V49,C$4:I$52,5,FALSE),"")</f>
        <v>0</v>
      </c>
      <c r="AF49" s="231">
        <f>IF(V49&lt;&gt;"",VLOOKUP(V49,C$4:K$52,9,FALSE),"")</f>
        <v>-167</v>
      </c>
      <c r="AG49" s="231">
        <f t="shared" ref="AG49:AG52" si="93">AC49</f>
        <v>0</v>
      </c>
      <c r="AH49" s="231">
        <f>IF(V49&lt;&gt;"",RANK(AG49,AG$49:AG$53),"")</f>
        <v>1</v>
      </c>
      <c r="AI49" s="231">
        <f>IF(V49&lt;&gt;"",SUMPRODUCT((AG$49:AG$53=AG49)*(AB$49:AB$53&gt;AB49)),"")</f>
        <v>0</v>
      </c>
      <c r="AJ49" s="231">
        <f>IF(V49&lt;&gt;"",SUMPRODUCT((AG$49:AG$53=AG49)*(AB$49:AB$53=AB49)*(Z$49:Z$53&gt;Z49)),"")</f>
        <v>0</v>
      </c>
      <c r="AK49" s="231">
        <f>IF(V49&lt;&gt;"",SUMPRODUCT((AG$49:AG$53=AG49)*(AB$49:AB$53=AB49)*(Z$49:Z$53=Z49)*(AD$49:AD$53&gt;AD49)),"")</f>
        <v>0</v>
      </c>
      <c r="AL49" s="231">
        <f>IF(V49&lt;&gt;"",SUMPRODUCT((AG$49:AG$53=AG49)*(AB$49:AB$53=AB49)*(Z$49:Z$53=Z49)*(AD$49:AD$53=AD49)*(AE$49:AE$53&gt;AE49)),"")</f>
        <v>0</v>
      </c>
      <c r="AM49" s="231">
        <f>IF(V49&lt;&gt;"",SUMPRODUCT((AG$49:AG$53=AG49)*(AB$49:AB$53=AB49)*(Z$49:Z$53=Z49)*(AD$49:AD$53=AD49)*(AE$49:AE$53=AE49)*(AF$49:AF$53&gt;AF49)),"")</f>
        <v>3</v>
      </c>
      <c r="AN49" s="231">
        <f>IF(V49&lt;&gt;"",IF(AN128&lt;&gt;"",IF(U127=3,AN128,AN128+U127),SUM(AH49:AM49)),"")</f>
        <v>4</v>
      </c>
      <c r="AO49" s="231" t="str">
        <f>IF(V49&lt;&gt;"",INDEX(V$49:V$53,MATCH(1,AN$49:AN$53,0),0),"")</f>
        <v>Spain</v>
      </c>
      <c r="CX49" s="231" t="str">
        <f>IF(AO49&lt;&gt;"",AO49,O49)</f>
        <v>Spain</v>
      </c>
      <c r="CY49" s="231">
        <v>1</v>
      </c>
      <c r="DA49" s="234" t="str">
        <f>Matches!H50</f>
        <v>Portugal</v>
      </c>
      <c r="DB49" s="234">
        <f>IF($DA$2&lt;&gt;"",IF(AND(Matches!J50&lt;&gt;"",Matches!K50&lt;&gt;""),Matches!J50,0),"")</f>
        <v>0</v>
      </c>
      <c r="DC49" s="234">
        <f>IF($DA$2&lt;&gt;"",IF(AND(Matches!J50&lt;&gt;"",Matches!K50&lt;&gt;""),Matches!K50,0),"")</f>
        <v>0</v>
      </c>
      <c r="DD49" s="234" t="str">
        <f>Matches!M50</f>
        <v>Uzbekistan</v>
      </c>
      <c r="DE49" s="234" t="str">
        <f>IF(AND(Matches!J50&lt;&gt;"",Matches!K50&lt;&gt;""),IF(DB49&gt;DC49,"W",IF(DB49=DC49,"D","L")),"")</f>
        <v/>
      </c>
      <c r="DF49" s="231" t="str">
        <f t="shared" si="0"/>
        <v/>
      </c>
      <c r="DQ49" s="238"/>
      <c r="DR49" s="239"/>
      <c r="DS49" s="240" t="str">
        <f t="shared" si="16"/>
        <v>Uzbekistan</v>
      </c>
      <c r="DT49" s="241" t="s">
        <v>676</v>
      </c>
      <c r="DU49" s="240"/>
      <c r="DW49" s="242" t="s">
        <v>101</v>
      </c>
      <c r="DX49" s="230"/>
      <c r="DY49" s="243">
        <v>43</v>
      </c>
      <c r="DZ49" s="244">
        <f t="shared" si="14"/>
        <v>46195.541666666664</v>
      </c>
      <c r="EA49" s="247">
        <v>46195.541666666664</v>
      </c>
      <c r="EB49" s="246">
        <f t="shared" si="75"/>
        <v>46195.541666666664</v>
      </c>
      <c r="EC49" s="247"/>
      <c r="ED49" s="233">
        <f>SUM(Matches!S47:S50)</f>
        <v>10</v>
      </c>
      <c r="EE49" s="233" t="str">
        <f>INDEX(Language!$A$1:$K$177,MATCH(Setup!B50,Language!$B$1:$B$177,0),MATCH(Setup!$C$5,Language!$A$1:$J$1,0))</f>
        <v>Uzbekistan</v>
      </c>
    </row>
    <row r="50" spans="1:135" ht="13.5" customHeight="1" x14ac:dyDescent="0.25">
      <c r="A50" s="230">
        <f>Setup!F37+100</f>
        <v>167</v>
      </c>
      <c r="B50" s="231">
        <f>VLOOKUP(C50,CX$49:CY$52,2,FALSE)</f>
        <v>4</v>
      </c>
      <c r="C50" s="232" t="str">
        <f t="shared" ref="C50:C52" si="94">EE36</f>
        <v>Cabo Verde</v>
      </c>
      <c r="D50" s="231">
        <f>SUMPRODUCT((DA$3:DA$105=C50)*(DE$3:DE$105="W"))+SUMPRODUCT((DD$3:DD$105=C50)*(DF$3:DF$105="W"))</f>
        <v>0</v>
      </c>
      <c r="E50" s="231">
        <f>SUMPRODUCT((DA$3:DA$105=C50)*(DE$3:DE$105="D"))+SUMPRODUCT((DD$3:DD$105=C50)*(DF$3:DF$105="D"))</f>
        <v>0</v>
      </c>
      <c r="F50" s="231">
        <f>SUMPRODUCT((DA$3:DA$105=C50)*(DE$3:DE$105="L"))+SUMPRODUCT((DD$3:DD$105=C50)*(DF$3:DF$105="L"))</f>
        <v>0</v>
      </c>
      <c r="G50" s="231">
        <f>SUMIF(DA$3:DA$123,C50,DB$3:DB$123)+SUMIF(DD$3:DD$123,C50,DC$3:DC$123)</f>
        <v>0</v>
      </c>
      <c r="H50" s="231">
        <f>SUMIF(DD$3:DD$123,C50,DB$3:DB$123)+SUMIF(DA$3:DA$123,C50,DC$3:DC$123)</f>
        <v>0</v>
      </c>
      <c r="I50" s="231">
        <f t="shared" si="90"/>
        <v>1000</v>
      </c>
      <c r="J50" s="231">
        <f t="shared" si="91"/>
        <v>0</v>
      </c>
      <c r="K50" s="231">
        <f>IF(Setup!G37&lt;&gt;"",Setup!G37,-A50)</f>
        <v>-167</v>
      </c>
      <c r="L50" s="231">
        <f>IF(COUNTIF(J$49:J$52,4)&lt;&gt;4,RANK(J50,J$49:J$52),J129)</f>
        <v>1</v>
      </c>
      <c r="N50" s="231">
        <f t="shared" ref="N50:N52" si="95">SUMPRODUCT((L$49:L$52=L50)*(K$49:K$52&lt;K50))+L50</f>
        <v>1</v>
      </c>
      <c r="O50" s="232" t="str">
        <f>INDEX(C$49:C$53,MATCH(2,N$49:N$53,0),0)</f>
        <v>Saudi Arabia</v>
      </c>
      <c r="P50" s="231">
        <f t="shared" ref="P50:P52" si="96">INDEX(L$49:L$53,MATCH(O50,C$49:C$53,0),0)</f>
        <v>1</v>
      </c>
      <c r="Q50" s="231" t="str">
        <f>IF(Q49&lt;&gt;"",O50,"")</f>
        <v>Saudi Arabia</v>
      </c>
      <c r="R50" s="231" t="str">
        <f>IF(R49&lt;&gt;"",O51,"")</f>
        <v/>
      </c>
      <c r="S50" s="231" t="str">
        <f>IF(S49&lt;&gt;"",O52,"")</f>
        <v/>
      </c>
      <c r="T50" s="231" t="str">
        <f>IF(T49&lt;&gt;"",O53,"")</f>
        <v/>
      </c>
      <c r="V50" s="231" t="str">
        <f t="shared" ref="V50:V52" si="97">IF(Q50&lt;&gt;"",Q50,"")</f>
        <v>Saudi Arabia</v>
      </c>
      <c r="W50" s="231">
        <f>SUMPRODUCT((DA$3:DA$105=V50)*(DD$3:DD$105=V51)*(DE$3:DE$105="W"))+SUMPRODUCT((DA$3:DA$105=V50)*(DD$3:DD$105=V52)*(DE$3:DE$105="W"))+SUMPRODUCT((DA$3:DA$105=V50)*(DD$3:DD$105=V53)*(DE$3:DE$105="W"))+SUMPRODUCT((DA$3:DA$105=V50)*(DD$3:DD$105=V49)*(DE$3:DE$105="W"))+SUMPRODUCT((DA$3:DA$105=V51)*(DD$3:DD$105=V50)*(DF$3:DF$105="W"))+SUMPRODUCT((DA$3:DA$105=V52)*(DD$3:DD$105=V50)*(DF$3:DF$105="W"))+SUMPRODUCT((DA$3:DA$105=V53)*(DD$3:DD$105=V50)*(DF$3:DF$105="W"))+SUMPRODUCT((DA$3:DA$105=V49)*(DD$3:DD$105=V50)*(DF$3:DF$105="W"))</f>
        <v>0</v>
      </c>
      <c r="X50" s="231">
        <f>SUMPRODUCT((DA$3:DA$105=V50)*(DD$3:DD$105=V51)*(DE$3:DE$105="D"))+SUMPRODUCT((DA$3:DA$105=V50)*(DD$3:DD$105=V52)*(DE$3:DE$105="D"))+SUMPRODUCT((DA$3:DA$105=V50)*(DD$3:DD$105=V53)*(DE$3:DE$105="D"))+SUMPRODUCT((DA$3:DA$105=V50)*(DD$3:DD$105=V49)*(DE$3:DE$105="D"))+SUMPRODUCT((DA$3:DA$105=V51)*(DD$3:DD$105=V50)*(DE$3:DE$105="D"))+SUMPRODUCT((DA$3:DA$105=V52)*(DD$3:DD$105=V50)*(DE$3:DE$105="D"))+SUMPRODUCT((DA$3:DA$105=V53)*(DD$3:DD$105=V50)*(DE$3:DE$105="D"))+SUMPRODUCT((DA$3:DA$105=V49)*(DD$3:DD$105=V50)*(DE$3:DE$105="D"))</f>
        <v>0</v>
      </c>
      <c r="Y50" s="231">
        <f>SUMPRODUCT((DA$3:DA$105=V50)*(DD$3:DD$105=V51)*(DE$3:DE$105="L"))+SUMPRODUCT((DA$3:DA$105=V50)*(DD$3:DD$105=V52)*(DE$3:DE$105="L"))+SUMPRODUCT((DA$3:DA$105=V50)*(DD$3:DD$105=V53)*(DE$3:DE$105="L"))+SUMPRODUCT((DA$3:DA$105=V50)*(DD$3:DD$105=V49)*(DE$3:DE$105="L"))+SUMPRODUCT((DA$3:DA$105=V51)*(DD$3:DD$105=V50)*(DF$3:DF$105="L"))+SUMPRODUCT((DA$3:DA$105=V52)*(DD$3:DD$105=V50)*(DF$3:DF$105="L"))+SUMPRODUCT((DA$3:DA$105=V53)*(DD$3:DD$105=V50)*(DF$3:DF$105="L"))+SUMPRODUCT((DA$3:DA$105=V49)*(DD$3:DD$105=V50)*(DF$3:DF$105="L"))</f>
        <v>0</v>
      </c>
      <c r="Z50" s="231">
        <f>SUMPRODUCT((DA$3:DA$105=V50)*(DD$3:DD$105=V51)*DB$3:DB$105)+SUMPRODUCT((DA$3:DA$105=V50)*(DD$3:DD$105=V52)*DB$3:DB$105)+SUMPRODUCT((DA$3:DA$105=V50)*(DD$3:DD$105=V53)*DB$3:DB$105)+SUMPRODUCT((DA$3:DA$105=V50)*(DD$3:DD$105=V49)*DB$3:DB$105)+SUMPRODUCT((DA$3:DA$105=V51)*(DD$3:DD$105=V50)*DC$3:DC$105)+SUMPRODUCT((DA$3:DA$105=V52)*(DD$3:DD$105=V50)*DC$3:DC$105)+SUMPRODUCT((DA$3:DA$105=V53)*(DD$3:DD$105=V50)*DC$3:DC$105)+SUMPRODUCT((DA$3:DA$105=V49)*(DD$3:DD$105=V50)*DC$3:DC$105)</f>
        <v>0</v>
      </c>
      <c r="AA50" s="231">
        <f>SUMPRODUCT((DA$3:DA$105=V50)*(DD$3:DD$105=V51)*DC$3:DC$105)+SUMPRODUCT((DA$3:DA$105=V50)*(DD$3:DD$105=V52)*DC$3:DC$105)+SUMPRODUCT((DA$3:DA$105=V50)*(DD$3:DD$105=V53)*DC$3:DC$105)+SUMPRODUCT((DA$3:DA$105=V50)*(DD$3:DD$105=V49)*DC$3:DC$105)+SUMPRODUCT((DA$3:DA$105=V51)*(DD$3:DD$105=V50)*DB$3:DB$105)+SUMPRODUCT((DA$3:DA$105=V52)*(DD$3:DD$105=V50)*DB$3:DB$105)+SUMPRODUCT((DA$3:DA$105=V53)*(DD$3:DD$105=V50)*DB$3:DB$105)+SUMPRODUCT((DA$3:DA$105=V49)*(DD$3:DD$105=V50)*DB$3:DB$105)</f>
        <v>0</v>
      </c>
      <c r="AB50" s="231">
        <f>Z50-AA50+1000</f>
        <v>1000</v>
      </c>
      <c r="AC50" s="231">
        <f t="shared" si="92"/>
        <v>0</v>
      </c>
      <c r="AD50" s="231">
        <f>IF(V50&lt;&gt;"",VLOOKUP(V50,C$4:I$52,7,FALSE),"")</f>
        <v>1000</v>
      </c>
      <c r="AE50" s="231">
        <f>IF(V50&lt;&gt;"",VLOOKUP(V50,C$4:I$52,5,FALSE),"")</f>
        <v>0</v>
      </c>
      <c r="AF50" s="231">
        <f>IF(V50&lt;&gt;"",VLOOKUP(V50,C$4:K$52,9,FALSE),"")</f>
        <v>-161</v>
      </c>
      <c r="AG50" s="231">
        <f t="shared" si="93"/>
        <v>0</v>
      </c>
      <c r="AH50" s="231">
        <f t="shared" ref="AH50:AH52" si="98">IF(V50&lt;&gt;"",RANK(AG50,AG$49:AG$53),"")</f>
        <v>1</v>
      </c>
      <c r="AI50" s="231">
        <f t="shared" ref="AI50:AI52" si="99">IF(V50&lt;&gt;"",SUMPRODUCT((AG$49:AG$53=AG50)*(AB$49:AB$53&gt;AB50)),"")</f>
        <v>0</v>
      </c>
      <c r="AJ50" s="231">
        <f t="shared" ref="AJ50:AJ52" si="100">IF(V50&lt;&gt;"",SUMPRODUCT((AG$49:AG$53=AG50)*(AB$49:AB$53=AB50)*(Z$49:Z$53&gt;Z50)),"")</f>
        <v>0</v>
      </c>
      <c r="AK50" s="231">
        <f t="shared" ref="AK50:AK52" si="101">IF(V50&lt;&gt;"",SUMPRODUCT((AG$49:AG$53=AG50)*(AB$49:AB$53=AB50)*(Z$49:Z$53=Z50)*(AD$49:AD$53&gt;AD50)),"")</f>
        <v>0</v>
      </c>
      <c r="AL50" s="231">
        <f t="shared" ref="AL50:AL52" si="102">IF(V50&lt;&gt;"",SUMPRODUCT((AG$49:AG$53=AG50)*(AB$49:AB$53=AB50)*(Z$49:Z$53=Z50)*(AD$49:AD$53=AD50)*(AE$49:AE$53&gt;AE50)),"")</f>
        <v>0</v>
      </c>
      <c r="AM50" s="231">
        <f t="shared" ref="AM50:AM52" si="103">IF(V50&lt;&gt;"",SUMPRODUCT((AG$49:AG$53=AG50)*(AB$49:AB$53=AB50)*(Z$49:Z$53=Z50)*(AD$49:AD$53=AD50)*(AE$49:AE$53=AE50)*(AF$49:AF$53&gt;AF50)),"")</f>
        <v>2</v>
      </c>
      <c r="AN50" s="231">
        <f>IF(V50&lt;&gt;"",IF(AN129&lt;&gt;"",IF(U127=3,AN129,AN129+U127),SUM(AH50:AM50)),"")</f>
        <v>3</v>
      </c>
      <c r="AO50" s="231" t="str">
        <f>IF(V50&lt;&gt;"",INDEX(V$49:V$53,MATCH(2,AN$49:AN$53,0),0),"")</f>
        <v>Uruguay</v>
      </c>
      <c r="AP50" s="231" t="str">
        <f>IF(R49&lt;&gt;"",R49,"")</f>
        <v/>
      </c>
      <c r="AQ50" s="231">
        <f>SUMPRODUCT((DA$3:DA$105=AP50)*(DD$3:DD$105=AP51)*(DE$3:DE$105="W"))+SUMPRODUCT((DA$3:DA$105=AP50)*(DD$3:DD$105=AP52)*(DE$3:DE$105="W"))+SUMPRODUCT((DA$3:DA$105=AP50)*(DD$3:DD$105=AP53)*(DE$3:DE$105="W"))+SUMPRODUCT((DA$3:DA$105=AP51)*(DD$3:DD$105=AP50)*(DF$3:DF$105="W"))+SUMPRODUCT((DA$3:DA$105=AP52)*(DD$3:DD$105=AP50)*(DF$3:DF$105="W"))+SUMPRODUCT((DA$3:DA$105=AP53)*(DD$3:DD$105=AP50)*(DF$3:DF$105="W"))</f>
        <v>0</v>
      </c>
      <c r="AR50" s="231">
        <f>SUMPRODUCT((DA$3:DA$105=AP50)*(DD$3:DD$105=AP51)*(DE$3:DE$105="D"))+SUMPRODUCT((DA$3:DA$105=AP50)*(DD$3:DD$105=AP52)*(DE$3:DE$105="D"))+SUMPRODUCT((DA$3:DA$105=AP50)*(DD$3:DD$105=AP53)*(DE$3:DE$105="D"))+SUMPRODUCT((DA$3:DA$105=AP51)*(DD$3:DD$105=AP50)*(DE$3:DE$105="D"))+SUMPRODUCT((DA$3:DA$105=AP52)*(DD$3:DD$105=AP50)*(DE$3:DE$105="D"))+SUMPRODUCT((DA$3:DA$105=AP53)*(DD$3:DD$105=AP50)*(DE$3:DE$105="D"))</f>
        <v>0</v>
      </c>
      <c r="AS50" s="231">
        <f>SUMPRODUCT((DA$3:DA$105=AP50)*(DD$3:DD$105=AP51)*(DE$3:DE$105="L"))+SUMPRODUCT((DA$3:DA$105=AP50)*(DD$3:DD$105=AP52)*(DE$3:DE$105="L"))+SUMPRODUCT((DA$3:DA$105=AP50)*(DD$3:DD$105=AP53)*(DE$3:DE$105="L"))+SUMPRODUCT((DA$3:DA$105=AP51)*(DD$3:DD$105=AP50)*(DF$3:DF$105="L"))+SUMPRODUCT((DA$3:DA$105=AP52)*(DD$3:DD$105=AP50)*(DF$3:DF$105="L"))+SUMPRODUCT((DA$3:DA$105=AP53)*(DD$3:DD$105=AP50)*(DF$3:DF$105="L"))</f>
        <v>0</v>
      </c>
      <c r="AT50" s="231">
        <f>SUMPRODUCT((DA$3:DA$105=AP50)*(DD$3:DD$105=AP51)*DB$3:DB$105)+SUMPRODUCT((DA$3:DA$105=AP50)*(DD$3:DD$105=AP52)*DB$3:DB$105)+SUMPRODUCT((DA$3:DA$105=AP50)*(DD$3:DD$105=AP53)*DB$3:DB$105)+SUMPRODUCT((DA$3:DA$105=AP50)*(DD$3:DD$105=AP49)*DB$3:DB$105)+SUMPRODUCT((DA$3:DA$105=AP51)*(DD$3:DD$105=AP50)*DC$3:DC$105)+SUMPRODUCT((DA$3:DA$105=AP52)*(DD$3:DD$105=AP50)*DC$3:DC$105)+SUMPRODUCT((DA$3:DA$105=AP53)*(DD$3:DD$105=AP50)*DC$3:DC$105)+SUMPRODUCT((DA$3:DA$105=AP49)*(DD$3:DD$105=AP50)*DC$3:DC$105)</f>
        <v>0</v>
      </c>
      <c r="AU50" s="231">
        <f>SUMPRODUCT((DA$3:DA$105=AP50)*(DD$3:DD$105=AP51)*DC$3:DC$105)+SUMPRODUCT((DA$3:DA$105=AP50)*(DD$3:DD$105=AP52)*DC$3:DC$105)+SUMPRODUCT((DA$3:DA$105=AP50)*(DD$3:DD$105=AP53)*DC$3:DC$105)+SUMPRODUCT((DA$3:DA$105=AP50)*(DD$3:DD$105=AP49)*DC$3:DC$105)+SUMPRODUCT((DA$3:DA$105=AP51)*(DD$3:DD$105=AP50)*DB$3:DB$105)+SUMPRODUCT((DA$3:DA$105=AP52)*(DD$3:DD$105=AP50)*DB$3:DB$105)+SUMPRODUCT((DA$3:DA$105=AP53)*(DD$3:DD$105=AP50)*DB$3:DB$105)+SUMPRODUCT((DA$3:DA$105=AP49)*(DD$3:DD$105=AP50)*DB$3:DB$105)</f>
        <v>0</v>
      </c>
      <c r="AV50" s="231">
        <f>AT50-AU50+1000</f>
        <v>1000</v>
      </c>
      <c r="AW50" s="231" t="str">
        <f t="shared" ref="AW50:AW52" si="104">IF(AP50&lt;&gt;"",AQ50*3+AR50*1,"")</f>
        <v/>
      </c>
      <c r="AX50" s="231" t="str">
        <f>IF(AP50&lt;&gt;"",VLOOKUP(AP50,C$4:I$52,7,FALSE),"")</f>
        <v/>
      </c>
      <c r="AY50" s="231" t="str">
        <f>IF(AP50&lt;&gt;"",VLOOKUP(AP50,C$4:I$52,5,FALSE),"")</f>
        <v/>
      </c>
      <c r="AZ50" s="231" t="str">
        <f>IF(AP50&lt;&gt;"",VLOOKUP(AP50,C$4:K$52,9,FALSE),"")</f>
        <v/>
      </c>
      <c r="BA50" s="231" t="str">
        <f t="shared" ref="BA50:BA52" si="105">AW50</f>
        <v/>
      </c>
      <c r="BB50" s="231" t="str">
        <f>IF(AP50&lt;&gt;"",RANK(BA50,BA$49:BA$52),"")</f>
        <v/>
      </c>
      <c r="BC50" s="231" t="str">
        <f>IF(AP50&lt;&gt;"",SUMPRODUCT((BA$49:BA$53=BA50)*(AV$49:AV$53&gt;AV50)),"")</f>
        <v/>
      </c>
      <c r="BD50" s="231" t="str">
        <f>IF(AP50&lt;&gt;"",SUMPRODUCT((BA$49:BA$53=BA50)*(AV$49:AV$53=AV50)*(AT$49:AT$53&gt;AT50)),"")</f>
        <v/>
      </c>
      <c r="BE50" s="231" t="str">
        <f>IF(AP50&lt;&gt;"",SUMPRODUCT((BA$49:BA$53=BA50)*(AV$49:AV$53=AV50)*(AT$49:AT$53=AT50)*(AX$49:AX$53&gt;AX50)),"")</f>
        <v/>
      </c>
      <c r="BF50" s="231" t="str">
        <f>IF(AP50&lt;&gt;"",SUMPRODUCT((BA$49:BA$53=BA50)*(AV$49:AV$53=AV50)*(AT$49:AT$53=AT50)*(AX$49:AX$53=AX50)*(AY$49:AY$53&gt;AY50)),"")</f>
        <v/>
      </c>
      <c r="BG50" s="231" t="str">
        <f>IF(AP50&lt;&gt;"",SUMPRODUCT((BA$49:BA$53=BA50)*(AV$49:AV$53=AV50)*(AT$49:AT$53=AT50)*(AX$49:AX$53=AX50)*(AY$49:AY$53=AY50)*(AZ$49:AZ$53&gt;AZ50)),"")</f>
        <v/>
      </c>
      <c r="BH50" s="231" t="str">
        <f>IF(AP50&lt;&gt;"",IF(BH129&lt;&gt;"",IF(AO$127=3,BH129,BH129+AO127),SUM(BB50:BG50)+1),"")</f>
        <v/>
      </c>
      <c r="BI50" s="231" t="str">
        <f>IF(AP50&lt;&gt;"",INDEX(AP$50:AP$53,MATCH(2,BH$50:BH$53,0),0),"")</f>
        <v/>
      </c>
      <c r="CX50" s="231" t="str">
        <f>IF(BI50&lt;&gt;"",BI50,IF(AO50&lt;&gt;"",AO50,O50))</f>
        <v>Uruguay</v>
      </c>
      <c r="CY50" s="231">
        <v>2</v>
      </c>
      <c r="DA50" s="234" t="str">
        <f>Matches!H51</f>
        <v>Colombia</v>
      </c>
      <c r="DB50" s="234">
        <f>IF($DA$2&lt;&gt;"",IF(AND(Matches!J51&lt;&gt;"",Matches!K51&lt;&gt;""),Matches!J51,0),"")</f>
        <v>0</v>
      </c>
      <c r="DC50" s="234">
        <f>IF($DA$2&lt;&gt;"",IF(AND(Matches!J51&lt;&gt;"",Matches!K51&lt;&gt;""),Matches!K51,0),"")</f>
        <v>0</v>
      </c>
      <c r="DD50" s="234" t="str">
        <f>Matches!M51</f>
        <v>DR Congo</v>
      </c>
      <c r="DE50" s="234" t="str">
        <f>IF(AND(Matches!J51&lt;&gt;"",Matches!K51&lt;&gt;""),IF(DB50&gt;DC50,"W",IF(DB50=DC50,"D","L")),"")</f>
        <v/>
      </c>
      <c r="DF50" s="231" t="str">
        <f t="shared" ref="DF50:DF71" si="106">IF(DE50&lt;&gt;"",IF(DE50="W","L",IF(DE50="L","W","D")),"")</f>
        <v/>
      </c>
      <c r="DQ50" s="238"/>
      <c r="DR50" s="239"/>
      <c r="DS50" s="240" t="str">
        <f t="shared" si="16"/>
        <v>Colombia</v>
      </c>
      <c r="DT50" s="241" t="s">
        <v>677</v>
      </c>
      <c r="DU50" s="240"/>
      <c r="DW50" s="242" t="s">
        <v>102</v>
      </c>
      <c r="DX50" s="230"/>
      <c r="DY50" s="243">
        <v>44</v>
      </c>
      <c r="DZ50" s="244">
        <f t="shared" si="14"/>
        <v>46195.958333333336</v>
      </c>
      <c r="EA50" s="247">
        <v>46195.958333333336</v>
      </c>
      <c r="EB50" s="246">
        <f t="shared" si="75"/>
        <v>46195.958333333336</v>
      </c>
      <c r="EC50" s="247"/>
      <c r="EE50" s="233" t="str">
        <f>INDEX(Language!$A$1:$K$177,MATCH(Setup!B51,Language!$B$1:$B$177,0),MATCH(Setup!$C$5,Language!$A$1:$J$1,0))</f>
        <v>Colombia</v>
      </c>
    </row>
    <row r="51" spans="1:135" ht="13.5" customHeight="1" x14ac:dyDescent="0.25">
      <c r="A51" s="230">
        <f>Setup!F38+100</f>
        <v>161</v>
      </c>
      <c r="B51" s="231">
        <f>VLOOKUP(C51,CX$49:CY$52,2,FALSE)</f>
        <v>3</v>
      </c>
      <c r="C51" s="232" t="str">
        <f t="shared" si="94"/>
        <v>Saudi Arabia</v>
      </c>
      <c r="D51" s="231">
        <f>SUMPRODUCT((DA$3:DA$105=C51)*(DE$3:DE$105="W"))+SUMPRODUCT((DD$3:DD$105=C51)*(DF$3:DF$105="W"))</f>
        <v>0</v>
      </c>
      <c r="E51" s="231">
        <f>SUMPRODUCT((DA$3:DA$105=C51)*(DE$3:DE$105="D"))+SUMPRODUCT((DD$3:DD$105=C51)*(DF$3:DF$105="D"))</f>
        <v>0</v>
      </c>
      <c r="F51" s="231">
        <f>SUMPRODUCT((DA$3:DA$105=C51)*(DE$3:DE$105="L"))+SUMPRODUCT((DD$3:DD$105=C51)*(DF$3:DF$105="L"))</f>
        <v>0</v>
      </c>
      <c r="G51" s="231">
        <f>SUMIF(DA$3:DA$123,C51,DB$3:DB$123)+SUMIF(DD$3:DD$123,C51,DC$3:DC$123)</f>
        <v>0</v>
      </c>
      <c r="H51" s="231">
        <f>SUMIF(DD$3:DD$123,C51,DB$3:DB$123)+SUMIF(DA$3:DA$123,C51,DC$3:DC$123)</f>
        <v>0</v>
      </c>
      <c r="I51" s="231">
        <f t="shared" si="90"/>
        <v>1000</v>
      </c>
      <c r="J51" s="231">
        <f t="shared" si="91"/>
        <v>0</v>
      </c>
      <c r="K51" s="231">
        <f>IF(Setup!G38&lt;&gt;"",Setup!G38,-A51)</f>
        <v>-161</v>
      </c>
      <c r="L51" s="231">
        <f>IF(COUNTIF(J$49:J$52,4)&lt;&gt;4,RANK(J51,J$49:J$52),J130)</f>
        <v>1</v>
      </c>
      <c r="N51" s="231">
        <f t="shared" si="95"/>
        <v>2</v>
      </c>
      <c r="O51" s="232" t="str">
        <f>INDEX(C$49:C$53,MATCH(3,N$49:N$53,0),0)</f>
        <v>Uruguay</v>
      </c>
      <c r="P51" s="231">
        <f t="shared" si="96"/>
        <v>1</v>
      </c>
      <c r="Q51" s="231" t="str">
        <f>IF(AND(Q50&lt;&gt;"",P51=1),O51,"")</f>
        <v>Uruguay</v>
      </c>
      <c r="R51" s="231" t="str">
        <f>IF(AND(R50&lt;&gt;"",P52=2),O52,"")</f>
        <v/>
      </c>
      <c r="S51" s="231" t="str">
        <f>IF(AND(S50&lt;&gt;"",P53=3),O53,"")</f>
        <v/>
      </c>
      <c r="V51" s="231" t="str">
        <f t="shared" si="97"/>
        <v>Uruguay</v>
      </c>
      <c r="W51" s="231">
        <f>SUMPRODUCT((DA$3:DA$105=V51)*(DD$3:DD$105=V52)*(DE$3:DE$105="W"))+SUMPRODUCT((DA$3:DA$105=V51)*(DD$3:DD$105=V53)*(DE$3:DE$105="W"))+SUMPRODUCT((DA$3:DA$105=V51)*(DD$3:DD$105=V49)*(DE$3:DE$105="W"))+SUMPRODUCT((DA$3:DA$105=V51)*(DD$3:DD$105=V50)*(DE$3:DE$105="W"))+SUMPRODUCT((DA$3:DA$105=V52)*(DD$3:DD$105=V51)*(DF$3:DF$105="W"))+SUMPRODUCT((DA$3:DA$105=V53)*(DD$3:DD$105=V51)*(DF$3:DF$105="W"))+SUMPRODUCT((DA$3:DA$105=V49)*(DD$3:DD$105=V51)*(DF$3:DF$105="W"))+SUMPRODUCT((DA$3:DA$105=V50)*(DD$3:DD$105=V51)*(DF$3:DF$105="W"))</f>
        <v>0</v>
      </c>
      <c r="X51" s="231">
        <f>SUMPRODUCT((DA$3:DA$105=V51)*(DD$3:DD$105=V52)*(DE$3:DE$105="D"))+SUMPRODUCT((DA$3:DA$105=V51)*(DD$3:DD$105=V53)*(DE$3:DE$105="D"))+SUMPRODUCT((DA$3:DA$105=V51)*(DD$3:DD$105=V49)*(DE$3:DE$105="D"))+SUMPRODUCT((DA$3:DA$105=V51)*(DD$3:DD$105=V50)*(DE$3:DE$105="D"))+SUMPRODUCT((DA$3:DA$105=V52)*(DD$3:DD$105=V51)*(DE$3:DE$105="D"))+SUMPRODUCT((DA$3:DA$105=V53)*(DD$3:DD$105=V51)*(DE$3:DE$105="D"))+SUMPRODUCT((DA$3:DA$105=V49)*(DD$3:DD$105=V51)*(DE$3:DE$105="D"))+SUMPRODUCT((DA$3:DA$105=V50)*(DD$3:DD$105=V51)*(DE$3:DE$105="D"))</f>
        <v>0</v>
      </c>
      <c r="Y51" s="231">
        <f>SUMPRODUCT((DA$3:DA$105=V51)*(DD$3:DD$105=V52)*(DE$3:DE$105="L"))+SUMPRODUCT((DA$3:DA$105=V51)*(DD$3:DD$105=V53)*(DE$3:DE$105="L"))+SUMPRODUCT((DA$3:DA$105=V51)*(DD$3:DD$105=V49)*(DE$3:DE$105="L"))+SUMPRODUCT((DA$3:DA$105=V51)*(DD$3:DD$105=V50)*(DE$3:DE$105="L"))+SUMPRODUCT((DA$3:DA$105=V52)*(DD$3:DD$105=V51)*(DF$3:DF$105="L"))+SUMPRODUCT((DA$3:DA$105=V53)*(DD$3:DD$105=V51)*(DF$3:DF$105="L"))+SUMPRODUCT((DA$3:DA$105=V49)*(DD$3:DD$105=V51)*(DF$3:DF$105="L"))+SUMPRODUCT((DA$3:DA$105=V50)*(DD$3:DD$105=V51)*(DF$3:DF$105="L"))</f>
        <v>0</v>
      </c>
      <c r="Z51" s="231">
        <f>SUMPRODUCT((DA$3:DA$105=V51)*(DD$3:DD$105=V52)*DB$3:DB$105)+SUMPRODUCT((DA$3:DA$105=V51)*(DD$3:DD$105=V53)*DB$3:DB$105)+SUMPRODUCT((DA$3:DA$105=V51)*(DD$3:DD$105=V49)*DB$3:DB$105)+SUMPRODUCT((DA$3:DA$105=V51)*(DD$3:DD$105=V50)*DB$3:DB$105)+SUMPRODUCT((DA$3:DA$105=V52)*(DD$3:DD$105=V51)*DC$3:DC$105)+SUMPRODUCT((DA$3:DA$105=V53)*(DD$3:DD$105=V51)*DC$3:DC$105)+SUMPRODUCT((DA$3:DA$105=V49)*(DD$3:DD$105=V51)*DC$3:DC$105)+SUMPRODUCT((DA$3:DA$105=V50)*(DD$3:DD$105=V51)*DC$3:DC$105)</f>
        <v>0</v>
      </c>
      <c r="AA51" s="231">
        <f>SUMPRODUCT((DA$3:DA$105=V51)*(DD$3:DD$105=V52)*DC$3:DC$105)+SUMPRODUCT((DA$3:DA$105=V51)*(DD$3:DD$105=V53)*DC$3:DC$105)+SUMPRODUCT((DA$3:DA$105=V51)*(DD$3:DD$105=V49)*DC$3:DC$105)+SUMPRODUCT((DA$3:DA$105=V51)*(DD$3:DD$105=V50)*DC$3:DC$105)+SUMPRODUCT((DA$3:DA$105=V52)*(DD$3:DD$105=V51)*DB$3:DB$105)+SUMPRODUCT((DA$3:DA$105=V53)*(DD$3:DD$105=V51)*DB$3:DB$105)+SUMPRODUCT((DA$3:DA$105=V49)*(DD$3:DD$105=V51)*DB$3:DB$105)+SUMPRODUCT((DA$3:DA$105=V50)*(DD$3:DD$105=V51)*DB$3:DB$105)</f>
        <v>0</v>
      </c>
      <c r="AB51" s="231">
        <f>Z51-AA51+1000</f>
        <v>1000</v>
      </c>
      <c r="AC51" s="231">
        <f t="shared" si="92"/>
        <v>0</v>
      </c>
      <c r="AD51" s="231">
        <f>IF(V51&lt;&gt;"",VLOOKUP(V51,C$4:I$52,7,FALSE),"")</f>
        <v>1000</v>
      </c>
      <c r="AE51" s="231">
        <f>IF(V51&lt;&gt;"",VLOOKUP(V51,C$4:I$52,5,FALSE),"")</f>
        <v>0</v>
      </c>
      <c r="AF51" s="231">
        <f>IF(V51&lt;&gt;"",VLOOKUP(V51,C$4:K$52,9,FALSE),"")</f>
        <v>-117</v>
      </c>
      <c r="AG51" s="231">
        <f t="shared" si="93"/>
        <v>0</v>
      </c>
      <c r="AH51" s="231">
        <f t="shared" si="98"/>
        <v>1</v>
      </c>
      <c r="AI51" s="231">
        <f t="shared" si="99"/>
        <v>0</v>
      </c>
      <c r="AJ51" s="231">
        <f t="shared" si="100"/>
        <v>0</v>
      </c>
      <c r="AK51" s="231">
        <f t="shared" si="101"/>
        <v>0</v>
      </c>
      <c r="AL51" s="231">
        <f t="shared" si="102"/>
        <v>0</v>
      </c>
      <c r="AM51" s="231">
        <f t="shared" si="103"/>
        <v>1</v>
      </c>
      <c r="AN51" s="231">
        <f>IF(V51&lt;&gt;"",IF(AN130&lt;&gt;"",IF(U127=3,AN130,AN130+U127),SUM(AH51:AM51)),"")</f>
        <v>2</v>
      </c>
      <c r="AO51" s="231" t="str">
        <f>IF(V51&lt;&gt;"",INDEX(V$49:V$53,MATCH(3,AN$49:AN$53,0),0),"")</f>
        <v>Saudi Arabia</v>
      </c>
      <c r="AP51" s="231" t="str">
        <f>IF(R50&lt;&gt;"",R50,"")</f>
        <v/>
      </c>
      <c r="AQ51" s="231">
        <f>SUMPRODUCT((DA$3:DA$105=AP51)*(DD$3:DD$105=AP52)*(DE$3:DE$105="W"))+SUMPRODUCT((DA$3:DA$105=AP51)*(DD$3:DD$105=AP53)*(DE$3:DE$105="W"))+SUMPRODUCT((DA$3:DA$105=AP51)*(DD$3:DD$105=AP50)*(DE$3:DE$105="W"))+SUMPRODUCT((DA$3:DA$105=AP52)*(DD$3:DD$105=AP51)*(DF$3:DF$105="W"))+SUMPRODUCT((DA$3:DA$105=AP53)*(DD$3:DD$105=AP51)*(DF$3:DF$105="W"))+SUMPRODUCT((DA$3:DA$105=AP50)*(DD$3:DD$105=AP51)*(DF$3:DF$105="W"))</f>
        <v>0</v>
      </c>
      <c r="AR51" s="231">
        <f>SUMPRODUCT((DA$3:DA$105=AP51)*(DD$3:DD$105=AP52)*(DE$3:DE$105="D"))+SUMPRODUCT((DA$3:DA$105=AP51)*(DD$3:DD$105=AP53)*(DE$3:DE$105="D"))+SUMPRODUCT((DA$3:DA$105=AP51)*(DD$3:DD$105=AP50)*(DE$3:DE$105="D"))+SUMPRODUCT((DA$3:DA$105=AP52)*(DD$3:DD$105=AP51)*(DE$3:DE$105="D"))+SUMPRODUCT((DA$3:DA$105=AP53)*(DD$3:DD$105=AP51)*(DE$3:DE$105="D"))+SUMPRODUCT((DA$3:DA$105=AP50)*(DD$3:DD$105=AP51)*(DE$3:DE$105="D"))</f>
        <v>0</v>
      </c>
      <c r="AS51" s="231">
        <f>SUMPRODUCT((DA$3:DA$105=AP51)*(DD$3:DD$105=AP52)*(DE$3:DE$105="L"))+SUMPRODUCT((DA$3:DA$105=AP51)*(DD$3:DD$105=AP53)*(DE$3:DE$105="L"))+SUMPRODUCT((DA$3:DA$105=AP51)*(DD$3:DD$105=AP50)*(DE$3:DE$105="L"))+SUMPRODUCT((DA$3:DA$105=AP52)*(DD$3:DD$105=AP51)*(DF$3:DF$105="L"))+SUMPRODUCT((DA$3:DA$105=AP53)*(DD$3:DD$105=AP51)*(DF$3:DF$105="L"))+SUMPRODUCT((DA$3:DA$105=AP50)*(DD$3:DD$105=AP51)*(DF$3:DF$105="L"))</f>
        <v>0</v>
      </c>
      <c r="AT51" s="231">
        <f>SUMPRODUCT((DA$3:DA$105=AP51)*(DD$3:DD$105=AP52)*DB$3:DB$105)+SUMPRODUCT((DA$3:DA$105=AP51)*(DD$3:DD$105=AP53)*DB$3:DB$105)+SUMPRODUCT((DA$3:DA$105=AP51)*(DD$3:DD$105=AP49)*DB$3:DB$105)+SUMPRODUCT((DA$3:DA$105=AP51)*(DD$3:DD$105=AP50)*DB$3:DB$105)+SUMPRODUCT((DA$3:DA$105=AP52)*(DD$3:DD$105=AP51)*DC$3:DC$105)+SUMPRODUCT((DA$3:DA$105=AP53)*(DD$3:DD$105=AP51)*DC$3:DC$105)+SUMPRODUCT((DA$3:DA$105=AP49)*(DD$3:DD$105=AP51)*DC$3:DC$105)+SUMPRODUCT((DA$3:DA$105=AP50)*(DD$3:DD$105=AP51)*DC$3:DC$105)</f>
        <v>0</v>
      </c>
      <c r="AU51" s="231">
        <f>SUMPRODUCT((DA$3:DA$105=AP51)*(DD$3:DD$105=AP52)*DC$3:DC$105)+SUMPRODUCT((DA$3:DA$105=AP51)*(DD$3:DD$105=AP53)*DC$3:DC$105)+SUMPRODUCT((DA$3:DA$105=AP51)*(DD$3:DD$105=AP49)*DC$3:DC$105)+SUMPRODUCT((DA$3:DA$105=AP51)*(DD$3:DD$105=AP50)*DC$3:DC$105)+SUMPRODUCT((DA$3:DA$105=AP52)*(DD$3:DD$105=AP51)*DB$3:DB$105)+SUMPRODUCT((DA$3:DA$105=AP53)*(DD$3:DD$105=AP51)*DB$3:DB$105)+SUMPRODUCT((DA$3:DA$105=AP49)*(DD$3:DD$105=AP51)*DB$3:DB$105)+SUMPRODUCT((DA$3:DA$105=AP50)*(DD$3:DD$105=AP51)*DB$3:DB$105)</f>
        <v>0</v>
      </c>
      <c r="AV51" s="231">
        <f>AT51-AU51+1000</f>
        <v>1000</v>
      </c>
      <c r="AW51" s="231" t="str">
        <f t="shared" si="104"/>
        <v/>
      </c>
      <c r="AX51" s="231" t="str">
        <f>IF(AP51&lt;&gt;"",VLOOKUP(AP51,C$4:I$52,7,FALSE),"")</f>
        <v/>
      </c>
      <c r="AY51" s="231" t="str">
        <f>IF(AP51&lt;&gt;"",VLOOKUP(AP51,C$4:I$52,5,FALSE),"")</f>
        <v/>
      </c>
      <c r="AZ51" s="231" t="str">
        <f>IF(AP51&lt;&gt;"",VLOOKUP(AP51,C$4:K$52,9,FALSE),"")</f>
        <v/>
      </c>
      <c r="BA51" s="231" t="str">
        <f t="shared" si="105"/>
        <v/>
      </c>
      <c r="BB51" s="231" t="str">
        <f t="shared" ref="BB51:BB52" si="107">IF(AP51&lt;&gt;"",RANK(BA51,BA$49:BA$52),"")</f>
        <v/>
      </c>
      <c r="BC51" s="231" t="str">
        <f t="shared" ref="BC51:BC52" si="108">IF(AP51&lt;&gt;"",SUMPRODUCT((BA$49:BA$53=BA51)*(AV$49:AV$53&gt;AV51)),"")</f>
        <v/>
      </c>
      <c r="BD51" s="231" t="str">
        <f t="shared" ref="BD51:BD52" si="109">IF(AP51&lt;&gt;"",SUMPRODUCT((BA$49:BA$53=BA51)*(AV$49:AV$53=AV51)*(AT$49:AT$53&gt;AT51)),"")</f>
        <v/>
      </c>
      <c r="BE51" s="231" t="str">
        <f t="shared" ref="BE51:BE52" si="110">IF(AP51&lt;&gt;"",SUMPRODUCT((BA$49:BA$53=BA51)*(AV$49:AV$53=AV51)*(AT$49:AT$53=AT51)*(AX$49:AX$53&gt;AX51)),"")</f>
        <v/>
      </c>
      <c r="BF51" s="231" t="str">
        <f t="shared" ref="BF51:BF52" si="111">IF(AP51&lt;&gt;"",SUMPRODUCT((BA$49:BA$53=BA51)*(AV$49:AV$53=AV51)*(AT$49:AT$53=AT51)*(AX$49:AX$53=AX51)*(AY$49:AY$53&gt;AY51)),"")</f>
        <v/>
      </c>
      <c r="BG51" s="231" t="str">
        <f t="shared" ref="BG51:BG52" si="112">IF(AP51&lt;&gt;"",SUMPRODUCT((BA$49:BA$53=BA51)*(AV$49:AV$53=AV51)*(AT$49:AT$53=AT51)*(AX$49:AX$53=AX51)*(AY$49:AY$53=AY51)*(AZ$49:AZ$53&gt;AZ51)),"")</f>
        <v/>
      </c>
      <c r="BH51" s="231" t="str">
        <f>IF(AP51&lt;&gt;"",IF(BH130&lt;&gt;"",IF(AO$127=3,BH130,BH130+AO127),SUM(BB51:BG51)+1),"")</f>
        <v/>
      </c>
      <c r="BI51" s="231" t="str">
        <f>IF(AP51&lt;&gt;"",INDEX(AP$50:AP$53,MATCH(3,BH$50:BH$53,0),0),"")</f>
        <v/>
      </c>
      <c r="BJ51" s="231" t="str">
        <f>IF(S49&lt;&gt;"",S49,"")</f>
        <v/>
      </c>
      <c r="BK51" s="231">
        <f>SUMPRODUCT((DA$3:DA$105=BJ51)*(DD$3:DD$105=BJ52)*(DE$3:DE$105="W"))+SUMPRODUCT((DA$3:DA$105=BJ51)*(DD$3:DD$105=BJ53)*(DE$3:DE$105="W"))+SUMPRODUCT((DA$3:DA$105=BJ51)*(DD$3:DD$105=BJ93)*(DE$3:DE$105="W"))+SUMPRODUCT((DA$3:DA$105=BJ52)*(DD$3:DD$105=BJ51)*(DF$3:DF$105="W"))+SUMPRODUCT((DA$3:DA$105=BJ53)*(DD$3:DD$105=BJ51)*(DF$3:DF$105="W"))+SUMPRODUCT((DA$3:DA$105=BJ93)*(DD$3:DD$105=BJ51)*(DF$3:DF$105="W"))</f>
        <v>0</v>
      </c>
      <c r="BL51" s="231">
        <f>SUMPRODUCT((DA$3:DA$105=BJ51)*(DD$3:DD$105=BJ52)*(DE$3:DE$105="D"))+SUMPRODUCT((DA$3:DA$105=BJ51)*(DD$3:DD$105=BJ53)*(DE$3:DE$105="D"))+SUMPRODUCT((DA$3:DA$105=BJ51)*(DD$3:DD$105=BJ93)*(DE$3:DE$105="D"))+SUMPRODUCT((DA$3:DA$105=BJ52)*(DD$3:DD$105=BJ51)*(DE$3:DE$105="D"))+SUMPRODUCT((DA$3:DA$105=BJ53)*(DD$3:DD$105=BJ51)*(DE$3:DE$105="D"))+SUMPRODUCT((DA$3:DA$105=BJ93)*(DD$3:DD$105=BJ51)*(DE$3:DE$105="D"))</f>
        <v>0</v>
      </c>
      <c r="BM51" s="231">
        <f>SUMPRODUCT((DA$3:DA$105=BJ51)*(DD$3:DD$105=BJ52)*(DE$3:DE$105="L"))+SUMPRODUCT((DA$3:DA$105=BJ51)*(DD$3:DD$105=BJ53)*(DE$3:DE$105="L"))+SUMPRODUCT((DA$3:DA$105=BJ51)*(DD$3:DD$105=BJ93)*(DE$3:DE$105="L"))+SUMPRODUCT((DA$3:DA$105=BJ52)*(DD$3:DD$105=BJ51)*(DF$3:DF$105="L"))+SUMPRODUCT((DA$3:DA$105=BJ53)*(DD$3:DD$105=BJ51)*(DF$3:DF$105="L"))+SUMPRODUCT((DA$3:DA$105=BJ93)*(DD$3:DD$105=BJ51)*(DF$3:DF$105="L"))</f>
        <v>0</v>
      </c>
      <c r="BN51" s="231">
        <f>SUMPRODUCT((DA$3:DA$105=BJ51)*(DD$3:DD$105=BJ52)*DB$3:DB$105)+SUMPRODUCT((DA$3:DA$105=BJ51)*(DD$3:DD$105=BJ53)*DB$3:DB$105)+SUMPRODUCT((DA$3:DA$105=BJ51)*(DD$3:DD$105=BJ49)*DB$3:DB$105)+SUMPRODUCT((DA$3:DA$105=BJ51)*(DD$3:DD$105=BJ50)*DB$3:DB$105)+SUMPRODUCT((DA$3:DA$105=BJ52)*(DD$3:DD$105=BJ51)*DC$3:DC$105)+SUMPRODUCT((DA$3:DA$105=BJ53)*(DD$3:DD$105=BJ51)*DC$3:DC$105)+SUMPRODUCT((DA$3:DA$105=BJ49)*(DD$3:DD$105=BJ51)*DC$3:DC$105)+SUMPRODUCT((DA$3:DA$105=BJ50)*(DD$3:DD$105=BJ51)*DC$3:DC$105)</f>
        <v>0</v>
      </c>
      <c r="BO51" s="231">
        <f>SUMPRODUCT((DA$3:DA$105=BJ51)*(DD$3:DD$105=BJ52)*DC$3:DC$105)+SUMPRODUCT((DA$3:DA$105=BJ51)*(DD$3:DD$105=BJ53)*DC$3:DC$105)+SUMPRODUCT((DA$3:DA$105=BJ51)*(DD$3:DD$105=BJ49)*DC$3:DC$105)+SUMPRODUCT((DA$3:DA$105=BJ51)*(DD$3:DD$105=BJ50)*DC$3:DC$105)+SUMPRODUCT((DA$3:DA$105=BJ52)*(DD$3:DD$105=BJ51)*DB$3:DB$105)+SUMPRODUCT((DA$3:DA$105=BJ53)*(DD$3:DD$105=BJ51)*DB$3:DB$105)+SUMPRODUCT((DA$3:DA$105=BJ49)*(DD$3:DD$105=BJ51)*DB$3:DB$105)+SUMPRODUCT((DA$3:DA$105=BJ50)*(DD$3:DD$105=BJ51)*DB$3:DB$105)</f>
        <v>0</v>
      </c>
      <c r="BP51" s="231">
        <f>BN51-BO51+1000</f>
        <v>1000</v>
      </c>
      <c r="BQ51" s="231" t="str">
        <f t="shared" ref="BQ51:BQ52" si="113">IF(BJ51&lt;&gt;"",BK51*3+BL51*1,"")</f>
        <v/>
      </c>
      <c r="BR51" s="231" t="str">
        <f>IF(BJ51&lt;&gt;"",VLOOKUP(BJ51,C$4:I$52,7,FALSE),"")</f>
        <v/>
      </c>
      <c r="BS51" s="231" t="str">
        <f>IF(BJ51&lt;&gt;"",VLOOKUP(BJ51,C$4:I$52,5,FALSE),"")</f>
        <v/>
      </c>
      <c r="BT51" s="231" t="str">
        <f>IF(BJ51&lt;&gt;"",VLOOKUP(BJ51,C$4:K$52,9,FALSE),"")</f>
        <v/>
      </c>
      <c r="BU51" s="231" t="str">
        <f t="shared" ref="BU51:BU52" si="114">BQ51</f>
        <v/>
      </c>
      <c r="BV51" s="231" t="str">
        <f>IF(BJ51&lt;&gt;"",RANK(BU51,BU$50:BU$52),"")</f>
        <v/>
      </c>
      <c r="BW51" s="231" t="str">
        <f>IF(BJ51&lt;&gt;"",SUMPRODUCT((BU$49:BU$53=BU51)*(BP$49:BP$53&gt;BP51)),"")</f>
        <v/>
      </c>
      <c r="BX51" s="231" t="str">
        <f>IF(BJ51&lt;&gt;"",SUMPRODUCT((BU$49:BU$53=BU51)*(BP$49:BP$53=BP51)*(BN$49:BN$53&gt;BN51)),"")</f>
        <v/>
      </c>
      <c r="BY51" s="231" t="str">
        <f>IF(BJ51&lt;&gt;"",SUMPRODUCT((BU$49:BU$53=BU51)*(BP$49:BP$53=BP51)*(BN$49:BN$53=BN51)*(BR$49:BR$53&gt;BR51)),"")</f>
        <v/>
      </c>
      <c r="BZ51" s="231" t="str">
        <f>IF(BJ51&lt;&gt;"",SUMPRODUCT((BU$49:BU$53=BU51)*(BP$49:BP$53=BP51)*(BN$49:BN$53=BN51)*(BR$49:BR$53=BR51)*(BS$49:BS$53&gt;BS51)),"")</f>
        <v/>
      </c>
      <c r="CA51" s="231" t="str">
        <f>IF(BJ51&lt;&gt;"",SUMPRODUCT((BU$49:BU$53=BU51)*(BP$49:BP$53=BP51)*(BN$49:BN$53=BN51)*(BR$49:BR$53=BR51)*(BS$49:BS$53=BS51)*(BT$49:BT$53&gt;BT51)),"")</f>
        <v/>
      </c>
      <c r="CB51" s="231" t="str">
        <f>IF(BJ51&lt;&gt;"",SUM(BV51:CA51)+2,"")</f>
        <v/>
      </c>
      <c r="CC51" s="231" t="str">
        <f>IF(BJ51&lt;&gt;"",INDEX(BJ$51:BJ$53,MATCH(3,CB$51:CB$53,0),0),"")</f>
        <v/>
      </c>
      <c r="CX51" s="231" t="str">
        <f>IF(CC51&lt;&gt;"",CC51,IF(BI51&lt;&gt;"",BI51,IF(AO51&lt;&gt;"",AO51,O51)))</f>
        <v>Saudi Arabia</v>
      </c>
      <c r="CY51" s="231">
        <v>3</v>
      </c>
      <c r="DA51" s="234" t="str">
        <f>Matches!H52</f>
        <v>Scotland</v>
      </c>
      <c r="DB51" s="234">
        <f>IF($DA$2&lt;&gt;"",IF(AND(Matches!J52&lt;&gt;"",Matches!K52&lt;&gt;""),Matches!J52,0),"")</f>
        <v>0</v>
      </c>
      <c r="DC51" s="234">
        <f>IF($DA$2&lt;&gt;"",IF(AND(Matches!J52&lt;&gt;"",Matches!K52&lt;&gt;""),Matches!K52,0),"")</f>
        <v>0</v>
      </c>
      <c r="DD51" s="234" t="str">
        <f>Matches!M52</f>
        <v>Brazil</v>
      </c>
      <c r="DE51" s="234" t="str">
        <f>IF(AND(Matches!J52&lt;&gt;"",Matches!K52&lt;&gt;""),IF(DB51&gt;DC51,"W",IF(DB51=DC51,"D","L")),"")</f>
        <v/>
      </c>
      <c r="DF51" s="231" t="str">
        <f t="shared" si="106"/>
        <v/>
      </c>
      <c r="DQ51" s="238" t="s">
        <v>70</v>
      </c>
      <c r="DR51" s="239"/>
      <c r="DS51" s="240" t="str">
        <f t="shared" si="16"/>
        <v>England</v>
      </c>
      <c r="DT51" s="241" t="s">
        <v>678</v>
      </c>
      <c r="DU51" s="240"/>
      <c r="DW51" s="242" t="s">
        <v>103</v>
      </c>
      <c r="DX51" s="230"/>
      <c r="DY51" s="243">
        <v>45</v>
      </c>
      <c r="DZ51" s="244">
        <f t="shared" si="14"/>
        <v>46196.666666666664</v>
      </c>
      <c r="EA51" s="247">
        <v>46196.666666666664</v>
      </c>
      <c r="EB51" s="246">
        <f t="shared" si="75"/>
        <v>46196.666666666664</v>
      </c>
      <c r="EC51" s="247"/>
      <c r="EE51" s="233" t="str">
        <f>INDEX(Language!$A$1:$K$177,MATCH(Setup!B52,Language!$B$1:$B$177,0),MATCH(Setup!$C$5,Language!$A$1:$J$1,0))</f>
        <v>England</v>
      </c>
    </row>
    <row r="52" spans="1:135" ht="13.5" customHeight="1" x14ac:dyDescent="0.25">
      <c r="A52" s="230">
        <f>Setup!F39+100</f>
        <v>117</v>
      </c>
      <c r="B52" s="231">
        <f>VLOOKUP(C52,CX$49:CY$52,2,FALSE)</f>
        <v>2</v>
      </c>
      <c r="C52" s="232" t="str">
        <f t="shared" si="94"/>
        <v>Uruguay</v>
      </c>
      <c r="D52" s="231">
        <f>SUMPRODUCT((DA$3:DA$105=C52)*(DE$3:DE$105="W"))+SUMPRODUCT((DD$3:DD$105=C52)*(DF$3:DF$105="W"))</f>
        <v>0</v>
      </c>
      <c r="E52" s="231">
        <f>SUMPRODUCT((DA$3:DA$105=C52)*(DE$3:DE$105="D"))+SUMPRODUCT((DD$3:DD$105=C52)*(DF$3:DF$105="D"))</f>
        <v>0</v>
      </c>
      <c r="F52" s="231">
        <f>SUMPRODUCT((DA$3:DA$105=C52)*(DE$3:DE$105="L"))+SUMPRODUCT((DD$3:DD$105=C52)*(DF$3:DF$105="L"))</f>
        <v>0</v>
      </c>
      <c r="G52" s="231">
        <f>SUMIF(DA$3:DA$123,C52,DB$3:DB$123)+SUMIF(DD$3:DD$123,C52,DC$3:DC$123)</f>
        <v>0</v>
      </c>
      <c r="H52" s="231">
        <f>SUMIF(DD$3:DD$123,C52,DB$3:DB$123)+SUMIF(DA$3:DA$123,C52,DC$3:DC$123)</f>
        <v>0</v>
      </c>
      <c r="I52" s="231">
        <f t="shared" si="90"/>
        <v>1000</v>
      </c>
      <c r="J52" s="231">
        <f t="shared" si="91"/>
        <v>0</v>
      </c>
      <c r="K52" s="231">
        <f>IF(Setup!G39&lt;&gt;"",Setup!G39,-A52)</f>
        <v>-117</v>
      </c>
      <c r="L52" s="231">
        <f>IF(COUNTIF(J$49:J$52,4)&lt;&gt;4,RANK(J52,J$49:J$52),J131)</f>
        <v>1</v>
      </c>
      <c r="N52" s="231">
        <f t="shared" si="95"/>
        <v>3</v>
      </c>
      <c r="O52" s="232" t="str">
        <f>INDEX(C$49:C$53,MATCH(4,N$49:N$53,0),0)</f>
        <v>Spain</v>
      </c>
      <c r="P52" s="231">
        <f t="shared" si="96"/>
        <v>1</v>
      </c>
      <c r="Q52" s="231" t="str">
        <f>IF(AND(Q51&lt;&gt;"",P52=1),O52,"")</f>
        <v>Spain</v>
      </c>
      <c r="R52" s="231" t="str">
        <f>IF(AND(R51&lt;&gt;"",P53=2),O53,"")</f>
        <v/>
      </c>
      <c r="V52" s="231" t="str">
        <f t="shared" si="97"/>
        <v>Spain</v>
      </c>
      <c r="W52" s="231">
        <f>SUMPRODUCT((DA$3:DA$105=V52)*(DD$3:DD$105=V53)*(DE$3:DE$105="W"))+SUMPRODUCT((DA$3:DA$105=V52)*(DD$3:DD$105=V49)*(DE$3:DE$105="W"))+SUMPRODUCT((DA$3:DA$105=V52)*(DD$3:DD$105=V50)*(DE$3:DE$105="W"))+SUMPRODUCT((DA$3:DA$105=V52)*(DD$3:DD$105=V51)*(DE$3:DE$105="W"))+SUMPRODUCT((DA$3:DA$105=V53)*(DD$3:DD$105=V52)*(DF$3:DF$105="W"))+SUMPRODUCT((DA$3:DA$105=V49)*(DD$3:DD$105=V52)*(DF$3:DF$105="W"))+SUMPRODUCT((DA$3:DA$105=V50)*(DD$3:DD$105=V52)*(DF$3:DF$105="W"))+SUMPRODUCT((DA$3:DA$105=V51)*(DD$3:DD$105=V52)*(DF$3:DF$105="W"))</f>
        <v>0</v>
      </c>
      <c r="X52" s="231">
        <f>SUMPRODUCT((DA$3:DA$105=V52)*(DD$3:DD$105=V53)*(DE$3:DE$105="D"))+SUMPRODUCT((DA$3:DA$105=V52)*(DD$3:DD$105=V49)*(DE$3:DE$105="D"))+SUMPRODUCT((DA$3:DA$105=V52)*(DD$3:DD$105=V50)*(DE$3:DE$105="D"))+SUMPRODUCT((DA$3:DA$105=V52)*(DD$3:DD$105=V51)*(DE$3:DE$105="D"))+SUMPRODUCT((DA$3:DA$105=V53)*(DD$3:DD$105=V52)*(DE$3:DE$105="D"))+SUMPRODUCT((DA$3:DA$105=V49)*(DD$3:DD$105=V52)*(DE$3:DE$105="D"))+SUMPRODUCT((DA$3:DA$105=V50)*(DD$3:DD$105=V52)*(DE$3:DE$105="D"))+SUMPRODUCT((DA$3:DA$105=V51)*(DD$3:DD$105=V52)*(DE$3:DE$105="D"))</f>
        <v>0</v>
      </c>
      <c r="Y52" s="231">
        <f>SUMPRODUCT((DA$3:DA$105=V52)*(DD$3:DD$105=V53)*(DE$3:DE$105="L"))+SUMPRODUCT((DA$3:DA$105=V52)*(DD$3:DD$105=V49)*(DE$3:DE$105="L"))+SUMPRODUCT((DA$3:DA$105=V52)*(DD$3:DD$105=V50)*(DE$3:DE$105="L"))+SUMPRODUCT((DA$3:DA$105=V52)*(DD$3:DD$105=V51)*(DE$3:DE$105="L"))+SUMPRODUCT((DA$3:DA$105=V53)*(DD$3:DD$105=V52)*(DF$3:DF$105="L"))+SUMPRODUCT((DA$3:DA$105=V49)*(DD$3:DD$105=V52)*(DF$3:DF$105="L"))+SUMPRODUCT((DA$3:DA$105=V50)*(DD$3:DD$105=V52)*(DF$3:DF$105="L"))+SUMPRODUCT((DA$3:DA$105=V51)*(DD$3:DD$105=V52)*(DF$3:DF$105="L"))</f>
        <v>0</v>
      </c>
      <c r="Z52" s="231">
        <f>SUMPRODUCT((DA$3:DA$105=V52)*(DD$3:DD$105=V53)*DB$3:DB$105)+SUMPRODUCT((DA$3:DA$105=V52)*(DD$3:DD$105=V49)*DB$3:DB$105)+SUMPRODUCT((DA$3:DA$105=V52)*(DD$3:DD$105=V50)*DB$3:DB$105)+SUMPRODUCT((DA$3:DA$105=V52)*(DD$3:DD$105=V51)*DB$3:DB$105)+SUMPRODUCT((DA$3:DA$105=V53)*(DD$3:DD$105=V52)*DC$3:DC$105)+SUMPRODUCT((DA$3:DA$105=V49)*(DD$3:DD$105=V52)*DC$3:DC$105)+SUMPRODUCT((DA$3:DA$105=V50)*(DD$3:DD$105=V52)*DC$3:DC$105)+SUMPRODUCT((DA$3:DA$105=V51)*(DD$3:DD$105=V52)*DC$3:DC$105)</f>
        <v>0</v>
      </c>
      <c r="AA52" s="231">
        <f>SUMPRODUCT((DA$3:DA$105=V52)*(DD$3:DD$105=V53)*DC$3:DC$105)+SUMPRODUCT((DA$3:DA$105=V52)*(DD$3:DD$105=V49)*DC$3:DC$105)+SUMPRODUCT((DA$3:DA$105=V52)*(DD$3:DD$105=V50)*DC$3:DC$105)+SUMPRODUCT((DA$3:DA$105=V52)*(DD$3:DD$105=V51)*DC$3:DC$105)+SUMPRODUCT((DA$3:DA$105=V53)*(DD$3:DD$105=V52)*DB$3:DB$105)+SUMPRODUCT((DA$3:DA$105=V49)*(DD$3:DD$105=V52)*DB$3:DB$105)+SUMPRODUCT((DA$3:DA$105=V50)*(DD$3:DD$105=V52)*DB$3:DB$105)+SUMPRODUCT((DA$3:DA$105=V51)*(DD$3:DD$105=V52)*DB$3:DB$105)</f>
        <v>0</v>
      </c>
      <c r="AB52" s="231">
        <f>Z52-AA52+1000</f>
        <v>1000</v>
      </c>
      <c r="AC52" s="231">
        <f t="shared" si="92"/>
        <v>0</v>
      </c>
      <c r="AD52" s="231">
        <f>IF(V52&lt;&gt;"",VLOOKUP(V52,C$4:I$52,7,FALSE),"")</f>
        <v>1000</v>
      </c>
      <c r="AE52" s="231">
        <f>IF(V52&lt;&gt;"",VLOOKUP(V52,C$4:I$52,5,FALSE),"")</f>
        <v>0</v>
      </c>
      <c r="AF52" s="231">
        <f>IF(V52&lt;&gt;"",VLOOKUP(V52,C$4:K$52,9,FALSE),"")</f>
        <v>-101</v>
      </c>
      <c r="AG52" s="231">
        <f t="shared" si="93"/>
        <v>0</v>
      </c>
      <c r="AH52" s="231">
        <f t="shared" si="98"/>
        <v>1</v>
      </c>
      <c r="AI52" s="231">
        <f t="shared" si="99"/>
        <v>0</v>
      </c>
      <c r="AJ52" s="231">
        <f t="shared" si="100"/>
        <v>0</v>
      </c>
      <c r="AK52" s="231">
        <f t="shared" si="101"/>
        <v>0</v>
      </c>
      <c r="AL52" s="231">
        <f t="shared" si="102"/>
        <v>0</v>
      </c>
      <c r="AM52" s="231">
        <f t="shared" si="103"/>
        <v>0</v>
      </c>
      <c r="AN52" s="231">
        <f>IF(V52&lt;&gt;"",IF(AN131&lt;&gt;"",IF(U127=3,AN131,AN131+U127),SUM(AH52:AM52)),"")</f>
        <v>1</v>
      </c>
      <c r="AO52" s="231" t="str">
        <f>IF(V52&lt;&gt;"",INDEX(V$49:V$53,MATCH(4,AN$49:AN$53,0),0),"")</f>
        <v>Cabo Verde</v>
      </c>
      <c r="AP52" s="231" t="str">
        <f>IF(R51&lt;&gt;"",R51,"")</f>
        <v/>
      </c>
      <c r="AQ52" s="231" t="str">
        <f>IF(AP52&lt;&gt;"",SUMPRODUCT((DA$3:DA$105=AP52)*(DD$3:DD$105=AP53)*(DE$3:DE$105="W"))+SUMPRODUCT((DA$3:DA$105=AP52)*(DD$3:DD$105=AP50)*(DE$3:DE$105="W"))+SUMPRODUCT((DA$3:DA$105=AP52)*(DD$3:DD$105=AP51)*(DE$3:DE$105="W"))+SUMPRODUCT((DA$3:DA$105=AP53)*(DD$3:DD$105=AP52)*(DF$3:DF$105="W"))+SUMPRODUCT((DA$3:DA$105=AP50)*(DD$3:DD$105=AP52)*(DF$3:DF$105="W"))+SUMPRODUCT((DA$3:DA$105=AP51)*(DD$3:DD$105=AP52)*(DF$3:DF$105="W")),"")</f>
        <v/>
      </c>
      <c r="AR52" s="231" t="str">
        <f>IF(AP52&lt;&gt;"",SUMPRODUCT((DA$3:DA$105=AP52)*(DD$3:DD$105=AP53)*(DE$3:DE$105="D"))+SUMPRODUCT((DA$3:DA$105=AP52)*(DD$3:DD$105=AP50)*(DE$3:DE$105="D"))+SUMPRODUCT((DA$3:DA$105=AP52)*(DD$3:DD$105=AP51)*(DE$3:DE$105="D"))+SUMPRODUCT((DA$3:DA$105=AP53)*(DD$3:DD$105=AP52)*(DE$3:DE$105="D"))+SUMPRODUCT((DA$3:DA$105=AP50)*(DD$3:DD$105=AP52)*(DE$3:DE$105="D"))+SUMPRODUCT((DA$3:DA$105=AP51)*(DD$3:DD$105=AP52)*(DE$3:DE$105="D")),"")</f>
        <v/>
      </c>
      <c r="AS52" s="231" t="str">
        <f>IF(AP52&lt;&gt;"",SUMPRODUCT((DA$3:DA$105=AP52)*(DD$3:DD$105=AP53)*(DE$3:DE$105="L"))+SUMPRODUCT((DA$3:DA$105=AP52)*(DD$3:DD$105=AP50)*(DE$3:DE$105="L"))+SUMPRODUCT((DA$3:DA$105=AP52)*(DD$3:DD$105=AP51)*(DE$3:DE$105="L"))+SUMPRODUCT((DA$3:DA$105=AP53)*(DD$3:DD$105=AP52)*(DF$3:DF$105="L"))+SUMPRODUCT((DA$3:DA$105=AP50)*(DD$3:DD$105=AP52)*(DF$3:DF$105="L"))+SUMPRODUCT((DA$3:DA$105=AP51)*(DD$3:DD$105=AP52)*(DF$3:DF$105="L")),"")</f>
        <v/>
      </c>
      <c r="AT52" s="231">
        <f>SUMPRODUCT((DA$3:DA$105=AP52)*(DD$3:DD$105=AP53)*DB$3:DB$105)+SUMPRODUCT((DA$3:DA$105=AP52)*(DD$3:DD$105=AP49)*DB$3:DB$105)+SUMPRODUCT((DA$3:DA$105=AP52)*(DD$3:DD$105=AP50)*DB$3:DB$105)+SUMPRODUCT((DA$3:DA$105=AP52)*(DD$3:DD$105=AP51)*DB$3:DB$105)+SUMPRODUCT((DA$3:DA$105=AP53)*(DD$3:DD$105=AP52)*DC$3:DC$105)+SUMPRODUCT((DA$3:DA$105=AP49)*(DD$3:DD$105=AP52)*DC$3:DC$105)+SUMPRODUCT((DA$3:DA$105=AP50)*(DD$3:DD$105=AP52)*DC$3:DC$105)+SUMPRODUCT((DA$3:DA$105=AP51)*(DD$3:DD$105=AP52)*DC$3:DC$105)</f>
        <v>0</v>
      </c>
      <c r="AU52" s="231">
        <f>SUMPRODUCT((DA$3:DA$105=AP52)*(DD$3:DD$105=AP53)*DC$3:DC$105)+SUMPRODUCT((DA$3:DA$105=AP52)*(DD$3:DD$105=AP49)*DC$3:DC$105)+SUMPRODUCT((DA$3:DA$105=AP52)*(DD$3:DD$105=AP50)*DC$3:DC$105)+SUMPRODUCT((DA$3:DA$105=AP52)*(DD$3:DD$105=AP51)*DC$3:DC$105)+SUMPRODUCT((DA$3:DA$105=AP53)*(DD$3:DD$105=AP52)*DB$3:DB$105)+SUMPRODUCT((DA$3:DA$105=AP49)*(DD$3:DD$105=AP52)*DB$3:DB$105)+SUMPRODUCT((DA$3:DA$105=AP50)*(DD$3:DD$105=AP52)*DB$3:DB$105)+SUMPRODUCT((DA$3:DA$105=AP51)*(DD$3:DD$105=AP52)*DB$3:DB$105)</f>
        <v>0</v>
      </c>
      <c r="AV52" s="231">
        <f>AT52-AU52+1000</f>
        <v>1000</v>
      </c>
      <c r="AW52" s="231" t="str">
        <f t="shared" si="104"/>
        <v/>
      </c>
      <c r="AX52" s="231" t="str">
        <f>IF(AP52&lt;&gt;"",VLOOKUP(AP52,C$4:I$52,7,FALSE),"")</f>
        <v/>
      </c>
      <c r="AY52" s="231" t="str">
        <f>IF(AP52&lt;&gt;"",VLOOKUP(AP52,C$4:I$52,5,FALSE),"")</f>
        <v/>
      </c>
      <c r="AZ52" s="231" t="str">
        <f>IF(AP52&lt;&gt;"",VLOOKUP(AP52,C$4:K$52,9,FALSE),"")</f>
        <v/>
      </c>
      <c r="BA52" s="231" t="str">
        <f t="shared" si="105"/>
        <v/>
      </c>
      <c r="BB52" s="231" t="str">
        <f t="shared" si="107"/>
        <v/>
      </c>
      <c r="BC52" s="231" t="str">
        <f t="shared" si="108"/>
        <v/>
      </c>
      <c r="BD52" s="231" t="str">
        <f t="shared" si="109"/>
        <v/>
      </c>
      <c r="BE52" s="231" t="str">
        <f t="shared" si="110"/>
        <v/>
      </c>
      <c r="BF52" s="231" t="str">
        <f t="shared" si="111"/>
        <v/>
      </c>
      <c r="BG52" s="231" t="str">
        <f t="shared" si="112"/>
        <v/>
      </c>
      <c r="BH52" s="231" t="str">
        <f>IF(AP52&lt;&gt;"",IF(BH131&lt;&gt;"",IF(AO$127=3,BH131,BH131+AO127),SUM(BB52:BG52)+1),"")</f>
        <v/>
      </c>
      <c r="BI52" s="231" t="str">
        <f>IF(AP52&lt;&gt;"",INDEX(AP$50:AP$53,MATCH(4,BH$50:BH$53,0),0),"")</f>
        <v/>
      </c>
      <c r="BJ52" s="231" t="str">
        <f>IF(S50&lt;&gt;"",S50,"")</f>
        <v/>
      </c>
      <c r="BK52" s="231">
        <f>SUMPRODUCT((DA$3:DA$105=BJ52)*(DD$3:DD$105=BJ53)*(DE$3:DE$105="W"))+SUMPRODUCT((DA$3:DA$105=BJ52)*(DD$3:DD$105=BJ93)*(DE$3:DE$105="W"))+SUMPRODUCT((DA$3:DA$105=BJ52)*(DD$3:DD$105=BJ51)*(DE$3:DE$105="W"))+SUMPRODUCT((DA$3:DA$105=BJ53)*(DD$3:DD$105=BJ52)*(DF$3:DF$105="W"))+SUMPRODUCT((DA$3:DA$105=BJ93)*(DD$3:DD$105=BJ52)*(DF$3:DF$105="W"))+SUMPRODUCT((DA$3:DA$105=BJ51)*(DD$3:DD$105=BJ52)*(DF$3:DF$105="W"))</f>
        <v>0</v>
      </c>
      <c r="BL52" s="231">
        <f>SUMPRODUCT((DA$3:DA$105=BJ52)*(DD$3:DD$105=BJ53)*(DE$3:DE$105="D"))+SUMPRODUCT((DA$3:DA$105=BJ52)*(DD$3:DD$105=BJ93)*(DE$3:DE$105="D"))+SUMPRODUCT((DA$3:DA$105=BJ52)*(DD$3:DD$105=BJ51)*(DE$3:DE$105="D"))+SUMPRODUCT((DA$3:DA$105=BJ53)*(DD$3:DD$105=BJ52)*(DE$3:DE$105="D"))+SUMPRODUCT((DA$3:DA$105=BJ93)*(DD$3:DD$105=BJ52)*(DE$3:DE$105="D"))+SUMPRODUCT((DA$3:DA$105=BJ51)*(DD$3:DD$105=BJ52)*(DE$3:DE$105="D"))</f>
        <v>0</v>
      </c>
      <c r="BM52" s="231">
        <f>SUMPRODUCT((DA$3:DA$105=BJ52)*(DD$3:DD$105=BJ53)*(DE$3:DE$105="L"))+SUMPRODUCT((DA$3:DA$105=BJ52)*(DD$3:DD$105=BJ93)*(DE$3:DE$105="L"))+SUMPRODUCT((DA$3:DA$105=BJ52)*(DD$3:DD$105=BJ51)*(DE$3:DE$105="L"))+SUMPRODUCT((DA$3:DA$105=BJ53)*(DD$3:DD$105=BJ52)*(DF$3:DF$105="L"))+SUMPRODUCT((DA$3:DA$105=BJ93)*(DD$3:DD$105=BJ52)*(DF$3:DF$105="L"))+SUMPRODUCT((DA$3:DA$105=BJ51)*(DD$3:DD$105=BJ52)*(DF$3:DF$105="L"))</f>
        <v>0</v>
      </c>
      <c r="BN52" s="231">
        <f>SUMPRODUCT((DA$3:DA$105=BJ52)*(DD$3:DD$105=BJ53)*DB$3:DB$105)+SUMPRODUCT((DA$3:DA$105=BJ52)*(DD$3:DD$105=BJ49)*DB$3:DB$105)+SUMPRODUCT((DA$3:DA$105=BJ52)*(DD$3:DD$105=BJ50)*DB$3:DB$105)+SUMPRODUCT((DA$3:DA$105=BJ52)*(DD$3:DD$105=BJ51)*DB$3:DB$105)+SUMPRODUCT((DA$3:DA$105=BJ53)*(DD$3:DD$105=BJ52)*DC$3:DC$105)+SUMPRODUCT((DA$3:DA$105=BJ49)*(DD$3:DD$105=BJ52)*DC$3:DC$105)+SUMPRODUCT((DA$3:DA$105=BJ50)*(DD$3:DD$105=BJ52)*DC$3:DC$105)+SUMPRODUCT((DA$3:DA$105=BJ51)*(DD$3:DD$105=BJ52)*DC$3:DC$105)</f>
        <v>0</v>
      </c>
      <c r="BO52" s="231">
        <f>SUMPRODUCT((DA$3:DA$105=BJ52)*(DD$3:DD$105=BJ53)*DC$3:DC$105)+SUMPRODUCT((DA$3:DA$105=BJ52)*(DD$3:DD$105=BJ49)*DC$3:DC$105)+SUMPRODUCT((DA$3:DA$105=BJ52)*(DD$3:DD$105=BJ50)*DC$3:DC$105)+SUMPRODUCT((DA$3:DA$105=BJ52)*(DD$3:DD$105=BJ51)*DC$3:DC$105)+SUMPRODUCT((DA$3:DA$105=BJ53)*(DD$3:DD$105=BJ52)*DB$3:DB$105)+SUMPRODUCT((DA$3:DA$105=BJ49)*(DD$3:DD$105=BJ52)*DB$3:DB$105)+SUMPRODUCT((DA$3:DA$105=BJ50)*(DD$3:DD$105=BJ52)*DB$3:DB$105)+SUMPRODUCT((DA$3:DA$105=BJ51)*(DD$3:DD$105=BJ52)*DB$3:DB$105)</f>
        <v>0</v>
      </c>
      <c r="BP52" s="231">
        <f>BN52-BO52+1000</f>
        <v>1000</v>
      </c>
      <c r="BQ52" s="231" t="str">
        <f t="shared" si="113"/>
        <v/>
      </c>
      <c r="BR52" s="231" t="str">
        <f>IF(BJ52&lt;&gt;"",VLOOKUP(BJ52,C$4:I$52,7,FALSE),"")</f>
        <v/>
      </c>
      <c r="BS52" s="231" t="str">
        <f>IF(BJ52&lt;&gt;"",VLOOKUP(BJ52,C$4:I$52,5,FALSE),"")</f>
        <v/>
      </c>
      <c r="BT52" s="231" t="str">
        <f>IF(BJ52&lt;&gt;"",VLOOKUP(BJ52,C$4:K$52,9,FALSE),"")</f>
        <v/>
      </c>
      <c r="BU52" s="231" t="str">
        <f t="shared" si="114"/>
        <v/>
      </c>
      <c r="BV52" s="231" t="str">
        <f>IF(BJ52&lt;&gt;"",RANK(BU52,BU$50:BU$52),"")</f>
        <v/>
      </c>
      <c r="BW52" s="231" t="str">
        <f>IF(BJ52&lt;&gt;"",SUMPRODUCT((BU$49:BU$53=BU52)*(BP$49:BP$53&gt;BP52)),"")</f>
        <v/>
      </c>
      <c r="BX52" s="231" t="str">
        <f>IF(BJ52&lt;&gt;"",SUMPRODUCT((BU$49:BU$53=BU52)*(BP$49:BP$53=BP52)*(BN$49:BN$53&gt;BN52)),"")</f>
        <v/>
      </c>
      <c r="BY52" s="231" t="str">
        <f>IF(BJ52&lt;&gt;"",SUMPRODUCT((BU$49:BU$53=BU52)*(BP$49:BP$53=BP52)*(BN$49:BN$53=BN52)*(BR$49:BR$53&gt;BR52)),"")</f>
        <v/>
      </c>
      <c r="BZ52" s="231" t="str">
        <f>IF(BJ52&lt;&gt;"",SUMPRODUCT((BU$49:BU$53=BU52)*(BP$49:BP$53=BP52)*(BN$49:BN$53=BN52)*(BR$49:BR$53=BR52)*(BS$49:BS$53&gt;BS52)),"")</f>
        <v/>
      </c>
      <c r="CA52" s="231" t="str">
        <f>IF(BJ52&lt;&gt;"",SUMPRODUCT((BU$49:BU$53=BU52)*(BP$49:BP$53=BP52)*(BN$49:BN$53=BN52)*(BR$49:BR$53=BR52)*(BS$49:BS$53=BS52)*(BT$49:BT$53&gt;BT52)),"")</f>
        <v/>
      </c>
      <c r="CB52" s="231" t="str">
        <f>IF(BJ52&lt;&gt;"",SUM(BV52:CA52)+2,"")</f>
        <v/>
      </c>
      <c r="CC52" s="231" t="str">
        <f>IF(BJ52&lt;&gt;"",INDEX(BJ$51:BJ$53,MATCH(4,CB$51:CB$53,0),0),"")</f>
        <v/>
      </c>
      <c r="CD52" s="231" t="str">
        <f>IF(T49&lt;&gt;"",T49,"")</f>
        <v/>
      </c>
      <c r="CE52" s="231">
        <f>SUMPRODUCT((DA$3:DA$105=CD52)*(DD$3:DD$105=CD53)*(DE$3:DE$105="W"))+SUMPRODUCT((DA$3:DA$105=CD52)*(DD$3:DD$105=CD93)*(DE$3:DE$105="W"))+SUMPRODUCT((DA$3:DA$105=CD52)*(DD$3:DD$105=CD94)*(DE$3:DE$105="W"))+SUMPRODUCT((DA$3:DA$105=CD53)*(DD$3:DD$105=CD52)*(DF$3:DF$105="W"))+SUMPRODUCT((DA$3:DA$105=CD93)*(DD$3:DD$105=CD52)*(DF$3:DF$105="W"))+SUMPRODUCT((DA$3:DA$105=CD94)*(DD$3:DD$105=CD52)*(DF$3:DF$105="W"))</f>
        <v>0</v>
      </c>
      <c r="CF52" s="231">
        <f>SUMPRODUCT((DA$3:DA$105=CD52)*(DD$3:DD$105=CD53)*(DE$3:DE$105="D"))+SUMPRODUCT((DA$3:DA$105=CD52)*(DD$3:DD$105=CD93)*(DE$3:DE$105="D"))+SUMPRODUCT((DA$3:DA$105=CD52)*(DD$3:DD$105=CD94)*(DE$3:DE$105="D"))+SUMPRODUCT((DA$3:DA$105=CD53)*(DD$3:DD$105=CD52)*(DE$3:DE$105="D"))+SUMPRODUCT((DA$3:DA$105=CD93)*(DD$3:DD$105=CD52)*(DE$3:DE$105="D"))+SUMPRODUCT((DA$3:DA$105=CD94)*(DD$3:DD$105=CD52)*(DE$3:DE$105="D"))</f>
        <v>0</v>
      </c>
      <c r="CG52" s="231">
        <f>SUMPRODUCT((DA$3:DA$105=CD52)*(DD$3:DD$105=CD53)*(DE$3:DE$105="L"))+SUMPRODUCT((DA$3:DA$105=CD52)*(DD$3:DD$105=CD93)*(DE$3:DE$105="L"))+SUMPRODUCT((DA$3:DA$105=CD52)*(DD$3:DD$105=CD94)*(DE$3:DE$105="L"))+SUMPRODUCT((DA$3:DA$105=CD53)*(DD$3:DD$105=CD52)*(DF$3:DF$105="L"))+SUMPRODUCT((DA$3:DA$105=CD93)*(DD$3:DD$105=CD52)*(DF$3:DF$105="L"))+SUMPRODUCT((DA$3:DA$105=CD94)*(DD$3:DD$105=CD52)*(DF$3:DF$105="L"))</f>
        <v>0</v>
      </c>
      <c r="CH52" s="231">
        <f>SUMPRODUCT((DA$3:DA$105=CD52)*(DD$3:DD$105=CD53)*DB$3:DB$105)+SUMPRODUCT((DA$3:DA$105=CD52)*(DD$3:DD$105=CD49)*DB$3:DB$105)+SUMPRODUCT((DA$3:DA$105=CD52)*(DD$3:DD$105=CD50)*DB$3:DB$105)+SUMPRODUCT((DA$3:DA$105=CD52)*(DD$3:DD$105=CD51)*DB$3:DB$105)+SUMPRODUCT((DA$3:DA$105=CD53)*(DD$3:DD$105=CD52)*DC$3:DC$105)+SUMPRODUCT((DA$3:DA$105=CD49)*(DD$3:DD$105=CD52)*DC$3:DC$105)+SUMPRODUCT((DA$3:DA$105=CD50)*(DD$3:DD$105=CD52)*DC$3:DC$105)+SUMPRODUCT((DA$3:DA$105=CD51)*(DD$3:DD$105=CD52)*DC$3:DC$105)</f>
        <v>0</v>
      </c>
      <c r="CI52" s="231">
        <f>SUMPRODUCT((DA$3:DA$105=CD52)*(DD$3:DD$105=CD53)*DC$3:DC$105)+SUMPRODUCT((DA$3:DA$105=CD52)*(DD$3:DD$105=CD49)*DC$3:DC$105)+SUMPRODUCT((DA$3:DA$105=CD52)*(DD$3:DD$105=CD50)*DC$3:DC$105)+SUMPRODUCT((DA$3:DA$105=CD52)*(DD$3:DD$105=CD51)*DC$3:DC$105)+SUMPRODUCT((DA$3:DA$105=CD53)*(DD$3:DD$105=CD52)*DB$3:DB$105)+SUMPRODUCT((DA$3:DA$105=CD49)*(DD$3:DD$105=CD52)*DB$3:DB$105)+SUMPRODUCT((DA$3:DA$105=CD50)*(DD$3:DD$105=CD52)*DB$3:DB$105)+SUMPRODUCT((DA$3:DA$105=CD51)*(DD$3:DD$105=CD52)*DB$3:DB$105)</f>
        <v>0</v>
      </c>
      <c r="CJ52" s="231">
        <f>CH52-CI52+1000</f>
        <v>1000</v>
      </c>
      <c r="CK52" s="231" t="str">
        <f t="shared" ref="CK52" si="115">IF(CD52&lt;&gt;"",CE52*3+CF52*1,"")</f>
        <v/>
      </c>
      <c r="CL52" s="231" t="str">
        <f>IF(CD52&lt;&gt;"",VLOOKUP(CD52,C$4:I$52,7,FALSE),"")</f>
        <v/>
      </c>
      <c r="CM52" s="231" t="str">
        <f>IF(CD52&lt;&gt;"",VLOOKUP(CD52,C$4:I$52,5,FALSE),"")</f>
        <v/>
      </c>
      <c r="CN52" s="231" t="str">
        <f>IF(CD52&lt;&gt;"",VLOOKUP(CD52,C$4:K$52,9,FALSE),"")</f>
        <v/>
      </c>
      <c r="CO52" s="231" t="str">
        <f t="shared" ref="CO52" si="116">CK52</f>
        <v/>
      </c>
      <c r="CP52" s="231" t="str">
        <f>IF(CD52&lt;&gt;"",RANK(CO52,AG49:AG53),"")</f>
        <v/>
      </c>
      <c r="CQ52" s="231" t="str">
        <f>IF(CD52&lt;&gt;"",SUMPRODUCT((CO49:CO53=CO52)*(CJ49:CJ53&gt;CJ52)),"")</f>
        <v/>
      </c>
      <c r="CR52" s="231" t="str">
        <f>IF(CD52&lt;&gt;"",SUMPRODUCT((CO49:CO53=CO52)*(CJ49:CJ53=CJ52)*(CH49:CH53&gt;CH52)),"")</f>
        <v/>
      </c>
      <c r="CS52" s="231" t="str">
        <f>IF(CD52&lt;&gt;"",SUMPRODUCT((CO49:CO53=CO52)*(CJ49:CJ53=CJ52)*(CH49:CH53=CH52)*(CL49:CL53&gt;CL52)),"")</f>
        <v/>
      </c>
      <c r="CT52" s="231" t="str">
        <f>IF(CD52&lt;&gt;"",SUMPRODUCT((CO49:CO53=CO52)*(CJ49:CJ53=CJ52)*(CH49:CH53=CH52)*(CL49:CL53=CL52)*(CM49:CM53&gt;CM52)),"")</f>
        <v/>
      </c>
      <c r="CU52" s="231" t="str">
        <f>IF(CD52&lt;&gt;"",SUMPRODUCT((CO49:CO53=CO52)*(CJ49:CJ53=CJ52)*(CH49:CH53=CH52)*(CL49:CL53=CL52)*(CM49:CM53=CM52)*(CN49:CN53&gt;CN52)),"")</f>
        <v/>
      </c>
      <c r="CV52" s="231" t="str">
        <f>IF(CD52&lt;&gt;"",SUM(CP52:CU52)+3,"")</f>
        <v/>
      </c>
      <c r="CW52" s="231" t="str">
        <f>IF(CD52&lt;&gt;"",IF(CV52=4,CD52,CD53),"")</f>
        <v/>
      </c>
      <c r="CX52" s="231" t="str">
        <f>IF(CW52&lt;&gt;"",CW52,IF(CC52&lt;&gt;"",CC52,IF(BI52&lt;&gt;"",BI52,IF(AO52&lt;&gt;"",AO52,O52))))</f>
        <v>Cabo Verde</v>
      </c>
      <c r="CY52" s="231">
        <v>4</v>
      </c>
      <c r="DA52" s="234" t="str">
        <f>Matches!H53</f>
        <v>Morocco</v>
      </c>
      <c r="DB52" s="234">
        <f>IF($DA$2&lt;&gt;"",IF(AND(Matches!J53&lt;&gt;"",Matches!K53&lt;&gt;""),Matches!J53,0),"")</f>
        <v>0</v>
      </c>
      <c r="DC52" s="234">
        <f>IF($DA$2&lt;&gt;"",IF(AND(Matches!J53&lt;&gt;"",Matches!K53&lt;&gt;""),Matches!K53,0),"")</f>
        <v>0</v>
      </c>
      <c r="DD52" s="234" t="str">
        <f>Matches!M53</f>
        <v>Haiti</v>
      </c>
      <c r="DE52" s="234" t="str">
        <f>IF(AND(Matches!J53&lt;&gt;"",Matches!K53&lt;&gt;""),IF(DB52&gt;DC52,"W",IF(DB52=DC52,"D","L")),"")</f>
        <v/>
      </c>
      <c r="DF52" s="231" t="str">
        <f t="shared" si="106"/>
        <v/>
      </c>
      <c r="DQ52" s="238"/>
      <c r="DR52" s="239"/>
      <c r="DS52" s="240" t="str">
        <f t="shared" si="16"/>
        <v>Croatia</v>
      </c>
      <c r="DT52" s="241" t="s">
        <v>679</v>
      </c>
      <c r="DU52" s="240"/>
      <c r="DW52" s="242" t="s">
        <v>104</v>
      </c>
      <c r="DX52" s="230"/>
      <c r="DY52" s="243">
        <v>46</v>
      </c>
      <c r="DZ52" s="244">
        <f t="shared" si="14"/>
        <v>46196.791666666664</v>
      </c>
      <c r="EA52" s="247">
        <v>46196.791666666664</v>
      </c>
      <c r="EB52" s="246">
        <f t="shared" si="75"/>
        <v>46196.791666666664</v>
      </c>
      <c r="EC52" s="247"/>
      <c r="EE52" s="233" t="str">
        <f>INDEX(Language!$A$1:$K$177,MATCH(Setup!B53,Language!$B$1:$B$177,0),MATCH(Setup!$C$5,Language!$A$1:$J$1,0))</f>
        <v>Croatia</v>
      </c>
    </row>
    <row r="53" spans="1:135" ht="13.5" customHeight="1" x14ac:dyDescent="0.25">
      <c r="DA53" s="234" t="str">
        <f>Matches!H54</f>
        <v>Switzerland</v>
      </c>
      <c r="DB53" s="234">
        <f>IF($DA$2&lt;&gt;"",IF(AND(Matches!J54&lt;&gt;"",Matches!K54&lt;&gt;""),Matches!J54,0),"")</f>
        <v>0</v>
      </c>
      <c r="DC53" s="234">
        <f>IF($DA$2&lt;&gt;"",IF(AND(Matches!J54&lt;&gt;"",Matches!K54&lt;&gt;""),Matches!K54,0),"")</f>
        <v>0</v>
      </c>
      <c r="DD53" s="234" t="str">
        <f>Matches!M54</f>
        <v>Canada</v>
      </c>
      <c r="DE53" s="234" t="str">
        <f>IF(AND(Matches!J54&lt;&gt;"",Matches!K54&lt;&gt;""),IF(DB53&gt;DC53,"W",IF(DB53=DC53,"D","L")),"")</f>
        <v/>
      </c>
      <c r="DF53" s="231" t="str">
        <f t="shared" si="106"/>
        <v/>
      </c>
      <c r="DQ53" s="238"/>
      <c r="DR53" s="239"/>
      <c r="DS53" s="240" t="str">
        <f t="shared" si="16"/>
        <v>Ghana</v>
      </c>
      <c r="DT53" s="241" t="s">
        <v>680</v>
      </c>
      <c r="DU53" s="240"/>
      <c r="DW53" s="242" t="s">
        <v>105</v>
      </c>
      <c r="DX53" s="230"/>
      <c r="DY53" s="243">
        <v>47</v>
      </c>
      <c r="DZ53" s="244">
        <f t="shared" si="14"/>
        <v>46196.541666666664</v>
      </c>
      <c r="EA53" s="247">
        <v>46196.541666666664</v>
      </c>
      <c r="EB53" s="246">
        <f t="shared" si="75"/>
        <v>46196.541666666664</v>
      </c>
      <c r="EC53" s="247"/>
      <c r="EE53" s="233" t="str">
        <f>INDEX(Language!$A$1:$K$177,MATCH(Setup!B54,Language!$B$1:$B$177,0),MATCH(Setup!$C$5,Language!$A$1:$J$1,0))</f>
        <v>Ghana</v>
      </c>
    </row>
    <row r="54" spans="1:135" ht="13.5" customHeight="1" x14ac:dyDescent="0.25">
      <c r="DA54" s="234" t="str">
        <f>Matches!H55</f>
        <v>Bosnia and Herzegovina</v>
      </c>
      <c r="DB54" s="234">
        <f>IF($DA$2&lt;&gt;"",IF(AND(Matches!J55&lt;&gt;"",Matches!K55&lt;&gt;""),Matches!J55,0),"")</f>
        <v>0</v>
      </c>
      <c r="DC54" s="234">
        <f>IF($DA$2&lt;&gt;"",IF(AND(Matches!J55&lt;&gt;"",Matches!K55&lt;&gt;""),Matches!K55,0),"")</f>
        <v>0</v>
      </c>
      <c r="DD54" s="234" t="str">
        <f>Matches!M55</f>
        <v>Qatar</v>
      </c>
      <c r="DE54" s="234" t="str">
        <f>IF(AND(Matches!J55&lt;&gt;"",Matches!K55&lt;&gt;""),IF(DB54&gt;DC54,"W",IF(DB54=DC54,"D","L")),"")</f>
        <v/>
      </c>
      <c r="DF54" s="231" t="str">
        <f t="shared" si="106"/>
        <v/>
      </c>
      <c r="DQ54" s="238"/>
      <c r="DR54" s="239"/>
      <c r="DS54" s="240" t="str">
        <f t="shared" si="16"/>
        <v>Panama</v>
      </c>
      <c r="DT54" s="241" t="s">
        <v>681</v>
      </c>
      <c r="DU54" s="240"/>
      <c r="DW54" s="242" t="s">
        <v>106</v>
      </c>
      <c r="DX54" s="230"/>
      <c r="DY54" s="243">
        <v>48</v>
      </c>
      <c r="DZ54" s="244">
        <f t="shared" si="14"/>
        <v>46196.916666666664</v>
      </c>
      <c r="EA54" s="247">
        <v>46196.916666666664</v>
      </c>
      <c r="EB54" s="246">
        <f t="shared" si="75"/>
        <v>46196.916666666664</v>
      </c>
      <c r="EC54" s="247"/>
      <c r="EE54" s="233" t="str">
        <f>INDEX(Language!$A$1:$K$177,MATCH(Setup!B55,Language!$B$1:$B$177,0),MATCH(Setup!$C$5,Language!$A$1:$J$1,0))</f>
        <v>Panama</v>
      </c>
    </row>
    <row r="55" spans="1:135" x14ac:dyDescent="0.25">
      <c r="A55" s="230">
        <f>Setup!F40+100</f>
        <v>103</v>
      </c>
      <c r="B55" s="231">
        <f>VLOOKUP(C55,CX$55:CY$58,2,FALSE)</f>
        <v>1</v>
      </c>
      <c r="C55" s="232" t="str">
        <f>EE39</f>
        <v>France</v>
      </c>
      <c r="D55" s="231">
        <f>SUMPRODUCT((DA$3:DA$105=C55)*(DE$3:DE$105="W"))+SUMPRODUCT((DD$3:DD$105=C55)*(DF$3:DF$105="W"))</f>
        <v>0</v>
      </c>
      <c r="E55" s="231">
        <f>SUMPRODUCT((DA$3:DA$105=C55)*(DE$3:DE$105="D"))+SUMPRODUCT((DD$3:DD$105=C55)*(DF$3:DF$105="D"))</f>
        <v>0</v>
      </c>
      <c r="F55" s="231">
        <f>SUMPRODUCT((DA$3:DA$105=C55)*(DE$3:DE$105="L"))+SUMPRODUCT((DD$3:DD$105=C55)*(DF$3:DF$105="L"))</f>
        <v>0</v>
      </c>
      <c r="G55" s="231">
        <f>SUMIF(DA$3:DA$123,C55,DB$3:DB$123)+SUMIF(DD$3:DD$123,C55,DC$3:DC$123)</f>
        <v>0</v>
      </c>
      <c r="H55" s="231">
        <f>SUMIF(DD$3:DD$123,C55,DB$3:DB$123)+SUMIF(DA$3:DA$123,C55,DC$3:DC$123)</f>
        <v>0</v>
      </c>
      <c r="I55" s="231">
        <f t="shared" ref="I55:I58" si="117">G55-H55+1000</f>
        <v>1000</v>
      </c>
      <c r="J55" s="231">
        <f t="shared" ref="J55:J58" si="118">D55*3+E55*1</f>
        <v>0</v>
      </c>
      <c r="K55" s="231">
        <f>IF(Setup!G40&lt;&gt;"",Setup!G40,-A55)</f>
        <v>-103</v>
      </c>
      <c r="L55" s="231">
        <f>IF(COUNTIF(J$55:J$58,4)&lt;&gt;4,RANK(J55,J$55:J$58),J134)</f>
        <v>1</v>
      </c>
      <c r="N55" s="231">
        <f>SUMPRODUCT((L$55:L$58=L55)*(K$55:K$58&lt;K55))+L55</f>
        <v>4</v>
      </c>
      <c r="O55" s="232" t="str">
        <f>INDEX(C$55:C$58,MATCH(1,N$55:N$58,0),0)</f>
        <v>Iraq</v>
      </c>
      <c r="P55" s="231">
        <f>INDEX(L$55:L$58,MATCH(O55,C$55:C$58,0),0)</f>
        <v>1</v>
      </c>
      <c r="Q55" s="231" t="str">
        <f>IF(P56=1,O55,"")</f>
        <v>Iraq</v>
      </c>
      <c r="R55" s="231" t="str">
        <f>IF(P57=2,O56,"")</f>
        <v/>
      </c>
      <c r="S55" s="231" t="str">
        <f>IF(P58=3,O57,"")</f>
        <v/>
      </c>
      <c r="T55" s="231" t="str">
        <f>IF(P59=4,O58,"")</f>
        <v/>
      </c>
      <c r="V55" s="231" t="str">
        <f>IF(Q55&lt;&gt;"",Q55,"")</f>
        <v>Iraq</v>
      </c>
      <c r="W55" s="231">
        <f>SUMPRODUCT((DA$3:DA$105=V55)*(DD$3:DD$105=V56)*(DE$3:DE$105="W"))+SUMPRODUCT((DA$3:DA$105=V55)*(DD$3:DD$105=V57)*(DE$3:DE$105="W"))+SUMPRODUCT((DA$3:DA$105=V55)*(DD$3:DD$105=V58)*(DE$3:DE$105="W"))+SUMPRODUCT((DA$3:DA$105=V55)*(DD$3:DD$105=V59)*(DE$3:DE$105="W"))+SUMPRODUCT((DA$3:DA$105=V56)*(DD$3:DD$105=V55)*(DF$3:DF$105="W"))+SUMPRODUCT((DA$3:DA$105=V57)*(DD$3:DD$105=V55)*(DF$3:DF$105="W"))+SUMPRODUCT((DA$3:DA$105=V58)*(DD$3:DD$105=V55)*(DF$3:DF$105="W"))+SUMPRODUCT((DA$3:DA$105=V59)*(DD$3:DD$105=V55)*(DF$3:DF$105="W"))</f>
        <v>0</v>
      </c>
      <c r="X55" s="231">
        <f>SUMPRODUCT((DA$3:DA$105=V55)*(DD$3:DD$105=V56)*(DE$3:DE$105="D"))+SUMPRODUCT((DA$3:DA$105=V55)*(DD$3:DD$105=V57)*(DE$3:DE$105="D"))+SUMPRODUCT((DA$3:DA$105=V55)*(DD$3:DD$105=V58)*(DE$3:DE$105="D"))+SUMPRODUCT((DA$3:DA$105=V55)*(DD$3:DD$105=V59)*(DE$3:DE$105="D"))+SUMPRODUCT((DA$3:DA$105=V56)*(DD$3:DD$105=V55)*(DE$3:DE$105="D"))+SUMPRODUCT((DA$3:DA$105=V57)*(DD$3:DD$105=V55)*(DE$3:DE$105="D"))+SUMPRODUCT((DA$3:DA$105=V58)*(DD$3:DD$105=V55)*(DE$3:DE$105="D"))+SUMPRODUCT((DA$3:DA$105=V59)*(DD$3:DD$105=V55)*(DE$3:DE$105="D"))</f>
        <v>0</v>
      </c>
      <c r="Y55" s="231">
        <f>SUMPRODUCT((DA$3:DA$105=V55)*(DD$3:DD$105=V56)*(DE$3:DE$105="L"))+SUMPRODUCT((DA$3:DA$105=V55)*(DD$3:DD$105=V57)*(DE$3:DE$105="L"))+SUMPRODUCT((DA$3:DA$105=V55)*(DD$3:DD$105=V58)*(DE$3:DE$105="L"))+SUMPRODUCT((DA$3:DA$105=V55)*(DD$3:DD$105=V59)*(DE$3:DE$105="L"))+SUMPRODUCT((DA$3:DA$105=V56)*(DD$3:DD$105=V55)*(DF$3:DF$105="L"))+SUMPRODUCT((DA$3:DA$105=V57)*(DD$3:DD$105=V55)*(DF$3:DF$105="L"))+SUMPRODUCT((DA$3:DA$105=V58)*(DD$3:DD$105=V55)*(DF$3:DF$105="L"))+SUMPRODUCT((DA$3:DA$105=V59)*(DD$3:DD$105=V55)*(DF$3:DF$105="L"))</f>
        <v>0</v>
      </c>
      <c r="Z55" s="231">
        <f>SUMPRODUCT((DA$3:DA$105=V55)*(DD$3:DD$105=V56)*DB$3:DB$105)+SUMPRODUCT((DA$3:DA$105=V55)*(DD$3:DD$105=V57)*DB$3:DB$105)+SUMPRODUCT((DA$3:DA$105=V55)*(DD$3:DD$105=V58)*DB$3:DB$105)+SUMPRODUCT((DA$3:DA$105=V55)*(DD$3:DD$105=V59)*DB$3:DB$105)+SUMPRODUCT((DA$3:DA$105=V56)*(DD$3:DD$105=V55)*DC$3:DC$105)+SUMPRODUCT((DA$3:DA$105=V57)*(DD$3:DD$105=V55)*DC$3:DC$105)+SUMPRODUCT((DA$3:DA$105=V58)*(DD$3:DD$105=V55)*DC$3:DC$105)+SUMPRODUCT((DA$3:DA$105=V59)*(DD$3:DD$105=V55)*DC$3:DC$105)</f>
        <v>0</v>
      </c>
      <c r="AA55" s="231">
        <f>SUMPRODUCT((DA$3:DA$105=V55)*(DD$3:DD$105=V56)*DC$3:DC$105)+SUMPRODUCT((DA$3:DA$105=V55)*(DD$3:DD$105=V57)*DC$3:DC$105)+SUMPRODUCT((DA$3:DA$105=V55)*(DD$3:DD$105=V58)*DC$3:DC$105)+SUMPRODUCT((DA$3:DA$105=V55)*(DD$3:DD$105=V59)*DC$3:DC$105)+SUMPRODUCT((DA$3:DA$105=V56)*(DD$3:DD$105=V55)*DB$3:DB$105)+SUMPRODUCT((DA$3:DA$105=V57)*(DD$3:DD$105=V55)*DB$3:DB$105)+SUMPRODUCT((DA$3:DA$105=V58)*(DD$3:DD$105=V55)*DB$3:DB$105)+SUMPRODUCT((DA$3:DA$105=V59)*(DD$3:DD$105=V55)*DB$3:DB$105)</f>
        <v>0</v>
      </c>
      <c r="AB55" s="231">
        <f>Z55-AA55+1000</f>
        <v>1000</v>
      </c>
      <c r="AC55" s="231">
        <f t="shared" ref="AC55:AC58" si="119">IF(V55&lt;&gt;"",W55*3+X55*1,"")</f>
        <v>0</v>
      </c>
      <c r="AD55" s="231">
        <f>IF(V55&lt;&gt;"",VLOOKUP(V55,C$4:I$58,7,FALSE),"")</f>
        <v>1000</v>
      </c>
      <c r="AE55" s="231">
        <f>IF(V55&lt;&gt;"",VLOOKUP(V55,C$4:I$58,5,FALSE),"")</f>
        <v>0</v>
      </c>
      <c r="AF55" s="231">
        <f>IF(V55&lt;&gt;"",VLOOKUP(V55,C$4:K$58,9,FALSE),"")</f>
        <v>-158</v>
      </c>
      <c r="AG55" s="231">
        <f t="shared" ref="AG55:AG58" si="120">AC55</f>
        <v>0</v>
      </c>
      <c r="AH55" s="231">
        <f>IF(V55&lt;&gt;"",RANK(AG55,AG$55:AG$58),"")</f>
        <v>1</v>
      </c>
      <c r="AI55" s="231">
        <f>IF(V55&lt;&gt;"",SUMPRODUCT((AG$55:AG$58=AG55)*(AB$55:AB$58&gt;AB55)),"")</f>
        <v>0</v>
      </c>
      <c r="AJ55" s="231">
        <f>IF(V55&lt;&gt;"",SUMPRODUCT((AG$55:AG$58=AG55)*(AB$55:AB$58=AB55)*(Z$55:Z$58&gt;Z55)),"")</f>
        <v>0</v>
      </c>
      <c r="AK55" s="231">
        <f>IF(V55&lt;&gt;"",SUMPRODUCT((AG$55:AG$58=AG55)*(AB$55:AB$58=AB55)*(Z$55:Z$58=Z55)*(AD$55:AD$58&gt;AD55)),"")</f>
        <v>0</v>
      </c>
      <c r="AL55" s="231">
        <f>IF(V55&lt;&gt;"",SUMPRODUCT((AG$55:AG$58=AG55)*(AB$55:AB$58=AB55)*(Z$55:Z$58=Z55)*(AD$55:AD$58=AD55)*(AE$55:AE$58&gt;AE55)),"")</f>
        <v>0</v>
      </c>
      <c r="AM55" s="231">
        <f>IF(V55&lt;&gt;"",SUMPRODUCT((AG$55:AG$58=AG55)*(AB$55:AB$58=AB55)*(Z$55:Z$58=Z55)*(AD$55:AD$58=AD55)*(AE$55:AE$58=AE55)*(AF$55:AF$58&gt;AF55)),"")</f>
        <v>3</v>
      </c>
      <c r="AN55" s="231">
        <f>IF(V55&lt;&gt;"",IF(AN134&lt;&gt;"",IF(U133=3,AN134,AN134+U133),SUM(AH55:AM55)),"")</f>
        <v>4</v>
      </c>
      <c r="AO55" s="231" t="str">
        <f>IF(V55&lt;&gt;"",INDEX(V$55:V$58,MATCH(1,AN$55:AN$58,0),0),"")</f>
        <v>France</v>
      </c>
      <c r="CX55" s="231" t="str">
        <f>IF(AO55&lt;&gt;"",AO55,O55)</f>
        <v>France</v>
      </c>
      <c r="CY55" s="231">
        <v>1</v>
      </c>
      <c r="DA55" s="234" t="str">
        <f>Matches!H56</f>
        <v>Czechia</v>
      </c>
      <c r="DB55" s="234">
        <f>IF($DA$2&lt;&gt;"",IF(AND(Matches!J56&lt;&gt;"",Matches!K56&lt;&gt;""),Matches!J56,0),"")</f>
        <v>0</v>
      </c>
      <c r="DC55" s="234">
        <f>IF($DA$2&lt;&gt;"",IF(AND(Matches!J56&lt;&gt;"",Matches!K56&lt;&gt;""),Matches!K56,0),"")</f>
        <v>0</v>
      </c>
      <c r="DD55" s="234" t="str">
        <f>Matches!M56</f>
        <v>Mexico</v>
      </c>
      <c r="DE55" s="234" t="str">
        <f>IF(AND(Matches!J56&lt;&gt;"",Matches!K56&lt;&gt;""),IF(DB55&gt;DC55,"W",IF(DB55=DC55,"D","L")),"")</f>
        <v/>
      </c>
      <c r="DF55" s="231" t="str">
        <f t="shared" si="106"/>
        <v/>
      </c>
      <c r="DS55" s="240"/>
      <c r="DW55" s="242" t="s">
        <v>107</v>
      </c>
      <c r="DX55" s="230"/>
      <c r="DY55" s="243">
        <v>49</v>
      </c>
      <c r="DZ55" s="244">
        <f t="shared" si="14"/>
        <v>46197.75</v>
      </c>
      <c r="EA55" s="247">
        <v>46197.75</v>
      </c>
      <c r="EB55" s="246">
        <f t="shared" si="75"/>
        <v>46197.75</v>
      </c>
      <c r="EC55" s="247"/>
    </row>
    <row r="56" spans="1:135" x14ac:dyDescent="0.25">
      <c r="A56" s="230">
        <f>Setup!F41+100</f>
        <v>112</v>
      </c>
      <c r="B56" s="231">
        <f>VLOOKUP(C56,CX$55:CY$58,2,FALSE)</f>
        <v>2</v>
      </c>
      <c r="C56" s="232" t="str">
        <f t="shared" ref="C56:C58" si="121">EE40</f>
        <v>Senegal</v>
      </c>
      <c r="D56" s="231">
        <f>SUMPRODUCT((DA$3:DA$105=C56)*(DE$3:DE$105="W"))+SUMPRODUCT((DD$3:DD$105=C56)*(DF$3:DF$105="W"))</f>
        <v>0</v>
      </c>
      <c r="E56" s="231">
        <f>SUMPRODUCT((DA$3:DA$105=C56)*(DE$3:DE$105="D"))+SUMPRODUCT((DD$3:DD$105=C56)*(DF$3:DF$105="D"))</f>
        <v>0</v>
      </c>
      <c r="F56" s="231">
        <f>SUMPRODUCT((DA$3:DA$105=C56)*(DE$3:DE$105="L"))+SUMPRODUCT((DD$3:DD$105=C56)*(DF$3:DF$105="L"))</f>
        <v>0</v>
      </c>
      <c r="G56" s="231">
        <f>SUMIF(DA$3:DA$123,C56,DB$3:DB$123)+SUMIF(DD$3:DD$123,C56,DC$3:DC$123)</f>
        <v>0</v>
      </c>
      <c r="H56" s="231">
        <f>SUMIF(DD$3:DD$123,C56,DB$3:DB$123)+SUMIF(DA$3:DA$123,C56,DC$3:DC$123)</f>
        <v>0</v>
      </c>
      <c r="I56" s="231">
        <f t="shared" si="117"/>
        <v>1000</v>
      </c>
      <c r="J56" s="231">
        <f t="shared" si="118"/>
        <v>0</v>
      </c>
      <c r="K56" s="231">
        <f>IF(Setup!G41&lt;&gt;"",Setup!G41,-A56)</f>
        <v>-112</v>
      </c>
      <c r="L56" s="231">
        <f>IF(COUNTIF(J$55:J$58,4)&lt;&gt;4,RANK(J56,J$55:J$58),J135)</f>
        <v>1</v>
      </c>
      <c r="N56" s="231">
        <f>SUMPRODUCT((L$55:L$58=L56)*(K$55:K$58&lt;K56))+L56</f>
        <v>3</v>
      </c>
      <c r="O56" s="232" t="str">
        <f>INDEX(C$55:C$58,MATCH(2,N$55:N$58,0),0)</f>
        <v>Norway</v>
      </c>
      <c r="P56" s="231">
        <f>INDEX(L$55:L$58,MATCH(O56,C$55:C$58,0),0)</f>
        <v>1</v>
      </c>
      <c r="Q56" s="231" t="str">
        <f>IF(Q55&lt;&gt;"",O56,"")</f>
        <v>Norway</v>
      </c>
      <c r="R56" s="231" t="str">
        <f>IF(R55&lt;&gt;"",O57,"")</f>
        <v/>
      </c>
      <c r="S56" s="231" t="str">
        <f>IF(S55&lt;&gt;"",O58,"")</f>
        <v/>
      </c>
      <c r="T56" s="231" t="str">
        <f>IF(T55&lt;&gt;"",O59,"")</f>
        <v/>
      </c>
      <c r="V56" s="231" t="str">
        <f t="shared" ref="V56:V58" si="122">IF(Q56&lt;&gt;"",Q56,"")</f>
        <v>Norway</v>
      </c>
      <c r="W56" s="231">
        <f>SUMPRODUCT((DA$3:DA$105=V56)*(DD$3:DD$105=V57)*(DE$3:DE$105="W"))+SUMPRODUCT((DA$3:DA$105=V56)*(DD$3:DD$105=V58)*(DE$3:DE$105="W"))+SUMPRODUCT((DA$3:DA$105=V56)*(DD$3:DD$105=V59)*(DE$3:DE$105="W"))+SUMPRODUCT((DA$3:DA$105=V56)*(DD$3:DD$105=V55)*(DE$3:DE$105="W"))+SUMPRODUCT((DA$3:DA$105=V57)*(DD$3:DD$105=V56)*(DF$3:DF$105="W"))+SUMPRODUCT((DA$3:DA$105=V58)*(DD$3:DD$105=V56)*(DF$3:DF$105="W"))+SUMPRODUCT((DA$3:DA$105=V59)*(DD$3:DD$105=V56)*(DF$3:DF$105="W"))+SUMPRODUCT((DA$3:DA$105=V55)*(DD$3:DD$105=V56)*(DF$3:DF$105="W"))</f>
        <v>0</v>
      </c>
      <c r="X56" s="231">
        <f>SUMPRODUCT((DA$3:DA$105=V56)*(DD$3:DD$105=V57)*(DE$3:DE$105="D"))+SUMPRODUCT((DA$3:DA$105=V56)*(DD$3:DD$105=V58)*(DE$3:DE$105="D"))+SUMPRODUCT((DA$3:DA$105=V56)*(DD$3:DD$105=V59)*(DE$3:DE$105="D"))+SUMPRODUCT((DA$3:DA$105=V56)*(DD$3:DD$105=V55)*(DE$3:DE$105="D"))+SUMPRODUCT((DA$3:DA$105=V57)*(DD$3:DD$105=V56)*(DE$3:DE$105="D"))+SUMPRODUCT((DA$3:DA$105=V58)*(DD$3:DD$105=V56)*(DE$3:DE$105="D"))+SUMPRODUCT((DA$3:DA$105=V59)*(DD$3:DD$105=V56)*(DE$3:DE$105="D"))+SUMPRODUCT((DA$3:DA$105=V55)*(DD$3:DD$105=V56)*(DE$3:DE$105="D"))</f>
        <v>0</v>
      </c>
      <c r="Y56" s="231">
        <f>SUMPRODUCT((DA$3:DA$105=V56)*(DD$3:DD$105=V57)*(DE$3:DE$105="L"))+SUMPRODUCT((DA$3:DA$105=V56)*(DD$3:DD$105=V58)*(DE$3:DE$105="L"))+SUMPRODUCT((DA$3:DA$105=V56)*(DD$3:DD$105=V59)*(DE$3:DE$105="L"))+SUMPRODUCT((DA$3:DA$105=V56)*(DD$3:DD$105=V55)*(DE$3:DE$105="L"))+SUMPRODUCT((DA$3:DA$105=V57)*(DD$3:DD$105=V56)*(DF$3:DF$105="L"))+SUMPRODUCT((DA$3:DA$105=V58)*(DD$3:DD$105=V56)*(DF$3:DF$105="L"))+SUMPRODUCT((DA$3:DA$105=V59)*(DD$3:DD$105=V56)*(DF$3:DF$105="L"))+SUMPRODUCT((DA$3:DA$105=V55)*(DD$3:DD$105=V56)*(DF$3:DF$105="L"))</f>
        <v>0</v>
      </c>
      <c r="Z56" s="231">
        <f>SUMPRODUCT((DA$3:DA$105=V56)*(DD$3:DD$105=V57)*DB$3:DB$105)+SUMPRODUCT((DA$3:DA$105=V56)*(DD$3:DD$105=V58)*DB$3:DB$105)+SUMPRODUCT((DA$3:DA$105=V56)*(DD$3:DD$105=V59)*DB$3:DB$105)+SUMPRODUCT((DA$3:DA$105=V56)*(DD$3:DD$105=V55)*DB$3:DB$105)+SUMPRODUCT((DA$3:DA$105=V57)*(DD$3:DD$105=V56)*DC$3:DC$105)+SUMPRODUCT((DA$3:DA$105=V58)*(DD$3:DD$105=V56)*DC$3:DC$105)+SUMPRODUCT((DA$3:DA$105=V59)*(DD$3:DD$105=V56)*DC$3:DC$105)+SUMPRODUCT((DA$3:DA$105=V55)*(DD$3:DD$105=V56)*DC$3:DC$105)</f>
        <v>0</v>
      </c>
      <c r="AA56" s="231">
        <f>SUMPRODUCT((DA$3:DA$105=V56)*(DD$3:DD$105=V57)*DC$3:DC$105)+SUMPRODUCT((DA$3:DA$105=V56)*(DD$3:DD$105=V58)*DC$3:DC$105)+SUMPRODUCT((DA$3:DA$105=V56)*(DD$3:DD$105=V59)*DC$3:DC$105)+SUMPRODUCT((DA$3:DA$105=V56)*(DD$3:DD$105=V55)*DC$3:DC$105)+SUMPRODUCT((DA$3:DA$105=V57)*(DD$3:DD$105=V56)*DB$3:DB$105)+SUMPRODUCT((DA$3:DA$105=V58)*(DD$3:DD$105=V56)*DB$3:DB$105)+SUMPRODUCT((DA$3:DA$105=V59)*(DD$3:DD$105=V56)*DB$3:DB$105)+SUMPRODUCT((DA$3:DA$105=V55)*(DD$3:DD$105=V56)*DB$3:DB$105)</f>
        <v>0</v>
      </c>
      <c r="AB56" s="231">
        <f>Z56-AA56+1000</f>
        <v>1000</v>
      </c>
      <c r="AC56" s="231">
        <f t="shared" si="119"/>
        <v>0</v>
      </c>
      <c r="AD56" s="231">
        <f>IF(V56&lt;&gt;"",VLOOKUP(V56,C$4:I$58,7,FALSE),"")</f>
        <v>1000</v>
      </c>
      <c r="AE56" s="231">
        <f>IF(V56&lt;&gt;"",VLOOKUP(V56,C$4:I$58,5,FALSE),"")</f>
        <v>0</v>
      </c>
      <c r="AF56" s="231">
        <f>IF(V56&lt;&gt;"",VLOOKUP(V56,C$4:K$58,9,FALSE),"")</f>
        <v>-132</v>
      </c>
      <c r="AG56" s="231">
        <f t="shared" si="120"/>
        <v>0</v>
      </c>
      <c r="AH56" s="231">
        <f>IF(V56&lt;&gt;"",RANK(AG56,AG$55:AG$58),"")</f>
        <v>1</v>
      </c>
      <c r="AI56" s="231">
        <f>IF(V56&lt;&gt;"",SUMPRODUCT((AG$55:AG$58=AG56)*(AB$55:AB$58&gt;AB56)),"")</f>
        <v>0</v>
      </c>
      <c r="AJ56" s="231">
        <f>IF(V56&lt;&gt;"",SUMPRODUCT((AG$55:AG$58=AG56)*(AB$55:AB$58=AB56)*(Z$55:Z$58&gt;Z56)),"")</f>
        <v>0</v>
      </c>
      <c r="AK56" s="231">
        <f>IF(V56&lt;&gt;"",SUMPRODUCT((AG$55:AG$58=AG56)*(AB$55:AB$58=AB56)*(Z$55:Z$58=Z56)*(AD$55:AD$58&gt;AD56)),"")</f>
        <v>0</v>
      </c>
      <c r="AL56" s="231">
        <f>IF(V56&lt;&gt;"",SUMPRODUCT((AG$55:AG$58=AG56)*(AB$55:AB$58=AB56)*(Z$55:Z$58=Z56)*(AD$55:AD$58=AD56)*(AE$55:AE$58&gt;AE56)),"")</f>
        <v>0</v>
      </c>
      <c r="AM56" s="231">
        <f>IF(V56&lt;&gt;"",SUMPRODUCT((AG$55:AG$58=AG56)*(AB$55:AB$58=AB56)*(Z$55:Z$58=Z56)*(AD$55:AD$58=AD56)*(AE$55:AE$58=AE56)*(AF$55:AF$58&gt;AF56)),"")</f>
        <v>2</v>
      </c>
      <c r="AN56" s="231">
        <f>IF(V56&lt;&gt;"",IF(AN135&lt;&gt;"",IF(U133=3,AN135,AN135+U133),SUM(AH56:AM56)),"")</f>
        <v>3</v>
      </c>
      <c r="AO56" s="231" t="str">
        <f>IF(V56&lt;&gt;"",INDEX(V$55:V$58,MATCH(2,AN$55:AN$58,0),0),"")</f>
        <v>Senegal</v>
      </c>
      <c r="AP56" s="231" t="str">
        <f>IF(R55&lt;&gt;"",R55,"")</f>
        <v/>
      </c>
      <c r="AQ56" s="231">
        <f>SUMPRODUCT((DA$3:DA$105=AP56)*(DD$3:DD$105=AP57)*(DE$3:DE$105="W"))+SUMPRODUCT((DA$3:DA$105=AP56)*(DD$3:DD$105=AP58)*(DE$3:DE$105="W"))+SUMPRODUCT((DA$3:DA$105=AP56)*(DD$3:DD$105=AP59)*(DE$3:DE$105="W"))+SUMPRODUCT((DA$3:DA$105=AP57)*(DD$3:DD$105=AP56)*(DF$3:DF$105="W"))+SUMPRODUCT((DA$3:DA$105=AP58)*(DD$3:DD$105=AP56)*(DF$3:DF$105="W"))+SUMPRODUCT((DA$3:DA$105=AP59)*(DD$3:DD$105=AP56)*(DF$3:DF$105="W"))</f>
        <v>0</v>
      </c>
      <c r="AR56" s="231">
        <f>SUMPRODUCT((DA$3:DA$105=AP56)*(DD$3:DD$105=AP57)*(DE$3:DE$105="D"))+SUMPRODUCT((DA$3:DA$105=AP56)*(DD$3:DD$105=AP58)*(DE$3:DE$105="D"))+SUMPRODUCT((DA$3:DA$105=AP56)*(DD$3:DD$105=AP59)*(DE$3:DE$105="D"))+SUMPRODUCT((DA$3:DA$105=AP57)*(DD$3:DD$105=AP56)*(DE$3:DE$105="D"))+SUMPRODUCT((DA$3:DA$105=AP58)*(DD$3:DD$105=AP56)*(DE$3:DE$105="D"))+SUMPRODUCT((DA$3:DA$105=AP59)*(DD$3:DD$105=AP56)*(DE$3:DE$105="D"))</f>
        <v>0</v>
      </c>
      <c r="AS56" s="231">
        <f>SUMPRODUCT((DA$3:DA$105=AP56)*(DD$3:DD$105=AP57)*(DE$3:DE$105="L"))+SUMPRODUCT((DA$3:DA$105=AP56)*(DD$3:DD$105=AP58)*(DE$3:DE$105="L"))+SUMPRODUCT((DA$3:DA$105=AP56)*(DD$3:DD$105=AP59)*(DE$3:DE$105="L"))+SUMPRODUCT((DA$3:DA$105=AP57)*(DD$3:DD$105=AP56)*(DF$3:DF$105="L"))+SUMPRODUCT((DA$3:DA$105=AP58)*(DD$3:DD$105=AP56)*(DF$3:DF$105="L"))+SUMPRODUCT((DA$3:DA$105=AP59)*(DD$3:DD$105=AP56)*(DF$3:DF$105="L"))</f>
        <v>0</v>
      </c>
      <c r="AT56" s="231">
        <f>SUMPRODUCT((DA$3:DA$105=AP56)*(DD$3:DD$105=AP57)*DB$3:DB$105)+SUMPRODUCT((DA$3:DA$105=AP56)*(DD$3:DD$105=AP58)*DB$3:DB$105)+SUMPRODUCT((DA$3:DA$105=AP56)*(DD$3:DD$105=AP59)*DB$3:DB$105)+SUMPRODUCT((DA$3:DA$105=AP56)*(DD$3:DD$105=AP55)*DB$3:DB$105)+SUMPRODUCT((DA$3:DA$105=AP57)*(DD$3:DD$105=AP56)*DC$3:DC$105)+SUMPRODUCT((DA$3:DA$105=AP58)*(DD$3:DD$105=AP56)*DC$3:DC$105)+SUMPRODUCT((DA$3:DA$105=AP59)*(DD$3:DD$105=AP56)*DC$3:DC$105)+SUMPRODUCT((DA$3:DA$105=AP55)*(DD$3:DD$105=AP56)*DC$3:DC$105)</f>
        <v>0</v>
      </c>
      <c r="AU56" s="231">
        <f>SUMPRODUCT((DA$3:DA$105=AP56)*(DD$3:DD$105=AP57)*DC$3:DC$105)+SUMPRODUCT((DA$3:DA$105=AP56)*(DD$3:DD$105=AP58)*DC$3:DC$105)+SUMPRODUCT((DA$3:DA$105=AP56)*(DD$3:DD$105=AP59)*DC$3:DC$105)+SUMPRODUCT((DA$3:DA$105=AP56)*(DD$3:DD$105=AP55)*DC$3:DC$105)+SUMPRODUCT((DA$3:DA$105=AP57)*(DD$3:DD$105=AP56)*DB$3:DB$105)+SUMPRODUCT((DA$3:DA$105=AP58)*(DD$3:DD$105=AP56)*DB$3:DB$105)+SUMPRODUCT((DA$3:DA$105=AP59)*(DD$3:DD$105=AP56)*DB$3:DB$105)+SUMPRODUCT((DA$3:DA$105=AP55)*(DD$3:DD$105=AP56)*DB$3:DB$105)</f>
        <v>0</v>
      </c>
      <c r="AV56" s="231">
        <f>AT56-AU56+1000</f>
        <v>1000</v>
      </c>
      <c r="AW56" s="231" t="str">
        <f t="shared" ref="AW56:AW58" si="123">IF(AP56&lt;&gt;"",AQ56*3+AR56*1,"")</f>
        <v/>
      </c>
      <c r="AX56" s="231" t="str">
        <f>IF(AP56&lt;&gt;"",VLOOKUP(AP56,C$4:I$58,7,FALSE),"")</f>
        <v/>
      </c>
      <c r="AY56" s="231" t="str">
        <f>IF(AP56&lt;&gt;"",VLOOKUP(AP56,C$4:I$58,5,FALSE),"")</f>
        <v/>
      </c>
      <c r="AZ56" s="231" t="str">
        <f>IF(AP56&lt;&gt;"",VLOOKUP(AP56,C$4:K$58,9,FALSE),"")</f>
        <v/>
      </c>
      <c r="BA56" s="231" t="str">
        <f t="shared" ref="BA56:BA58" si="124">AW56</f>
        <v/>
      </c>
      <c r="BB56" s="231" t="str">
        <f>IF(AP56&lt;&gt;"",RANK(BA56,BA$55:BA$58),"")</f>
        <v/>
      </c>
      <c r="BC56" s="231" t="str">
        <f>IF(AP56&lt;&gt;"",SUMPRODUCT((BA$55:BA$58=BA56)*(AV$55:AV$58&gt;AV56)),"")</f>
        <v/>
      </c>
      <c r="BD56" s="231" t="str">
        <f>IF(AP56&lt;&gt;"",SUMPRODUCT((BA$55:BA$58=BA56)*(AV$55:AV$58=AV56)*(AT$55:AT$58&gt;AT56)),"")</f>
        <v/>
      </c>
      <c r="BE56" s="231" t="str">
        <f>IF(AP56&lt;&gt;"",SUMPRODUCT((BA$55:BA$58=BA56)*(AV$55:AV$58=AV56)*(AT$55:AT$58=AT56)*(AX$55:AX$58&gt;AX56)),"")</f>
        <v/>
      </c>
      <c r="BF56" s="231" t="str">
        <f>IF(AP56&lt;&gt;"",SUMPRODUCT((BA$55:BA$58=BA56)*(AV$55:AV$58=AV56)*(AT$55:AT$58=AT56)*(AX$55:AX$58=AX56)*(AY$55:AY$58&gt;AY56)),"")</f>
        <v/>
      </c>
      <c r="BG56" s="231" t="str">
        <f>IF(AP56&lt;&gt;"",SUMPRODUCT((BA$55:BA$58=BA56)*(AV$55:AV$58=AV56)*(AT$55:AT$58=AT56)*(AX$55:AX$58=AX56)*(AY$55:AY$58=AY56)*(AZ$55:AZ$58&gt;AZ56)),"")</f>
        <v/>
      </c>
      <c r="BH56" s="231" t="str">
        <f>IF(AP56&lt;&gt;"",IF(BH135&lt;&gt;"",IF(AO$123=3,BH135,BH135+AO133),SUM(BB56:BG56)+1),"")</f>
        <v/>
      </c>
      <c r="BI56" s="231" t="str">
        <f>IF(AP56&lt;&gt;"",INDEX(AP$56:AP$59,MATCH(2,BH$56:BH$59,0),0),"")</f>
        <v/>
      </c>
      <c r="CX56" s="231" t="str">
        <f>IF(BI56&lt;&gt;"",BI56,IF(AO56&lt;&gt;"",AO56,O56))</f>
        <v>Senegal</v>
      </c>
      <c r="CY56" s="231">
        <v>2</v>
      </c>
      <c r="DA56" s="234" t="str">
        <f>Matches!H57</f>
        <v>South Africa</v>
      </c>
      <c r="DB56" s="234">
        <f>IF($DA$2&lt;&gt;"",IF(AND(Matches!J57&lt;&gt;"",Matches!K57&lt;&gt;""),Matches!J57,0),"")</f>
        <v>0</v>
      </c>
      <c r="DC56" s="234">
        <f>IF($DA$2&lt;&gt;"",IF(AND(Matches!J57&lt;&gt;"",Matches!K57&lt;&gt;""),Matches!K57,0),"")</f>
        <v>0</v>
      </c>
      <c r="DD56" s="234" t="str">
        <f>Matches!M57</f>
        <v>Korea Republic</v>
      </c>
      <c r="DE56" s="234" t="str">
        <f>IF(AND(Matches!J57&lt;&gt;"",Matches!K57&lt;&gt;""),IF(DB56&gt;DC56,"W",IF(DB56=DC56,"D","L")),"")</f>
        <v/>
      </c>
      <c r="DF56" s="231" t="str">
        <f t="shared" si="106"/>
        <v/>
      </c>
      <c r="DS56" s="233" t="str">
        <f>Matches!H77</f>
        <v>Group A Runner Up</v>
      </c>
      <c r="DU56" s="233" t="str">
        <f>IF(ISERROR("Calculator!"&amp;VLOOKUP(DS56,Calculator!$DS$7:$DT$54,2,FALSE)),"Calculator!dr77","Calculator!"&amp;VLOOKUP(DS56,Calculator!$DS$7:$DT$54,2,FALSE))</f>
        <v>Calculator!dr77</v>
      </c>
      <c r="DW56" s="242"/>
      <c r="DX56" s="230"/>
      <c r="DY56" s="243">
        <v>50</v>
      </c>
      <c r="DZ56" s="244">
        <f t="shared" si="14"/>
        <v>46197.75</v>
      </c>
      <c r="EA56" s="247">
        <v>46197.75</v>
      </c>
      <c r="EB56" s="246">
        <f t="shared" si="75"/>
        <v>46197.75</v>
      </c>
      <c r="EC56" s="247"/>
    </row>
    <row r="57" spans="1:135" x14ac:dyDescent="0.25">
      <c r="A57" s="230">
        <f>Setup!F42+100</f>
        <v>158</v>
      </c>
      <c r="B57" s="231">
        <f>VLOOKUP(C57,CX$55:CY$58,2,FALSE)</f>
        <v>4</v>
      </c>
      <c r="C57" s="232" t="str">
        <f t="shared" si="121"/>
        <v>Iraq</v>
      </c>
      <c r="D57" s="231">
        <f>SUMPRODUCT((DA$3:DA$105=C57)*(DE$3:DE$105="W"))+SUMPRODUCT((DD$3:DD$105=C57)*(DF$3:DF$105="W"))</f>
        <v>0</v>
      </c>
      <c r="E57" s="231">
        <f>SUMPRODUCT((DA$3:DA$105=C57)*(DE$3:DE$105="D"))+SUMPRODUCT((DD$3:DD$105=C57)*(DF$3:DF$105="D"))</f>
        <v>0</v>
      </c>
      <c r="F57" s="231">
        <f>SUMPRODUCT((DA$3:DA$105=C57)*(DE$3:DE$105="L"))+SUMPRODUCT((DD$3:DD$105=C57)*(DF$3:DF$105="L"))</f>
        <v>0</v>
      </c>
      <c r="G57" s="231">
        <f>SUMIF(DA$3:DA$123,C57,DB$3:DB$123)+SUMIF(DD$3:DD$123,C57,DC$3:DC$123)</f>
        <v>0</v>
      </c>
      <c r="H57" s="231">
        <f>SUMIF(DD$3:DD$123,C57,DB$3:DB$123)+SUMIF(DA$3:DA$123,C57,DC$3:DC$123)</f>
        <v>0</v>
      </c>
      <c r="I57" s="231">
        <f t="shared" si="117"/>
        <v>1000</v>
      </c>
      <c r="J57" s="231">
        <f t="shared" si="118"/>
        <v>0</v>
      </c>
      <c r="K57" s="231">
        <f>IF(Setup!G42&lt;&gt;"",Setup!G42,-A57)</f>
        <v>-158</v>
      </c>
      <c r="L57" s="231">
        <f>IF(COUNTIF(J$55:J$58,4)&lt;&gt;4,RANK(J57,J$55:J$58),J136)</f>
        <v>1</v>
      </c>
      <c r="N57" s="231">
        <f>SUMPRODUCT((L$55:L$58=L57)*(K$55:K$58&lt;K57))+L57</f>
        <v>1</v>
      </c>
      <c r="O57" s="232" t="str">
        <f>INDEX(C$55:C$58,MATCH(3,N$55:N$58,0),0)</f>
        <v>Senegal</v>
      </c>
      <c r="P57" s="231">
        <f>INDEX(L$55:L$58,MATCH(O57,C$55:C$58,0),0)</f>
        <v>1</v>
      </c>
      <c r="Q57" s="231" t="str">
        <f>IF(AND(Q56&lt;&gt;"",P57=1),O57,"")</f>
        <v>Senegal</v>
      </c>
      <c r="R57" s="231" t="str">
        <f>IF(AND(R56&lt;&gt;"",P58=2),O58,"")</f>
        <v/>
      </c>
      <c r="S57" s="231" t="str">
        <f>IF(AND(S56&lt;&gt;"",P59=3),O59,"")</f>
        <v/>
      </c>
      <c r="V57" s="231" t="str">
        <f t="shared" si="122"/>
        <v>Senegal</v>
      </c>
      <c r="W57" s="231">
        <f>SUMPRODUCT((DA$3:DA$105=V57)*(DD$3:DD$105=V58)*(DE$3:DE$105="W"))+SUMPRODUCT((DA$3:DA$105=V57)*(DD$3:DD$105=V59)*(DE$3:DE$105="W"))+SUMPRODUCT((DA$3:DA$105=V57)*(DD$3:DD$105=V55)*(DE$3:DE$105="W"))+SUMPRODUCT((DA$3:DA$105=V57)*(DD$3:DD$105=V56)*(DE$3:DE$105="W"))+SUMPRODUCT((DA$3:DA$105=V58)*(DD$3:DD$105=V57)*(DF$3:DF$105="W"))+SUMPRODUCT((DA$3:DA$105=V59)*(DD$3:DD$105=V57)*(DF$3:DF$105="W"))+SUMPRODUCT((DA$3:DA$105=V55)*(DD$3:DD$105=V57)*(DF$3:DF$105="W"))+SUMPRODUCT((DA$3:DA$105=V56)*(DD$3:DD$105=V57)*(DF$3:DF$105="W"))</f>
        <v>0</v>
      </c>
      <c r="X57" s="231">
        <f>SUMPRODUCT((DA$3:DA$105=V57)*(DD$3:DD$105=V58)*(DE$3:DE$105="D"))+SUMPRODUCT((DA$3:DA$105=V57)*(DD$3:DD$105=V59)*(DE$3:DE$105="D"))+SUMPRODUCT((DA$3:DA$105=V57)*(DD$3:DD$105=V55)*(DE$3:DE$105="D"))+SUMPRODUCT((DA$3:DA$105=V57)*(DD$3:DD$105=V56)*(DE$3:DE$105="D"))+SUMPRODUCT((DA$3:DA$105=V58)*(DD$3:DD$105=V57)*(DE$3:DE$105="D"))+SUMPRODUCT((DA$3:DA$105=V59)*(DD$3:DD$105=V57)*(DE$3:DE$105="D"))+SUMPRODUCT((DA$3:DA$105=V55)*(DD$3:DD$105=V57)*(DE$3:DE$105="D"))+SUMPRODUCT((DA$3:DA$105=V56)*(DD$3:DD$105=V57)*(DE$3:DE$105="D"))</f>
        <v>0</v>
      </c>
      <c r="Y57" s="231">
        <f>SUMPRODUCT((DA$3:DA$105=V57)*(DD$3:DD$105=V58)*(DE$3:DE$105="L"))+SUMPRODUCT((DA$3:DA$105=V57)*(DD$3:DD$105=V59)*(DE$3:DE$105="L"))+SUMPRODUCT((DA$3:DA$105=V57)*(DD$3:DD$105=V55)*(DE$3:DE$105="L"))+SUMPRODUCT((DA$3:DA$105=V57)*(DD$3:DD$105=V56)*(DE$3:DE$105="L"))+SUMPRODUCT((DA$3:DA$105=V58)*(DD$3:DD$105=V57)*(DF$3:DF$105="L"))+SUMPRODUCT((DA$3:DA$105=V59)*(DD$3:DD$105=V57)*(DF$3:DF$105="L"))+SUMPRODUCT((DA$3:DA$105=V55)*(DD$3:DD$105=V57)*(DF$3:DF$105="L"))+SUMPRODUCT((DA$3:DA$105=V56)*(DD$3:DD$105=V57)*(DF$3:DF$105="L"))</f>
        <v>0</v>
      </c>
      <c r="Z57" s="231">
        <f>SUMPRODUCT((DA$3:DA$105=V57)*(DD$3:DD$105=V58)*DB$3:DB$105)+SUMPRODUCT((DA$3:DA$105=V57)*(DD$3:DD$105=V59)*DB$3:DB$105)+SUMPRODUCT((DA$3:DA$105=V57)*(DD$3:DD$105=V55)*DB$3:DB$105)+SUMPRODUCT((DA$3:DA$105=V57)*(DD$3:DD$105=V56)*DB$3:DB$105)+SUMPRODUCT((DA$3:DA$105=V58)*(DD$3:DD$105=V57)*DC$3:DC$105)+SUMPRODUCT((DA$3:DA$105=V59)*(DD$3:DD$105=V57)*DC$3:DC$105)+SUMPRODUCT((DA$3:DA$105=V55)*(DD$3:DD$105=V57)*DC$3:DC$105)+SUMPRODUCT((DA$3:DA$105=V56)*(DD$3:DD$105=V57)*DC$3:DC$105)</f>
        <v>0</v>
      </c>
      <c r="AA57" s="231">
        <f>SUMPRODUCT((DA$3:DA$105=V57)*(DD$3:DD$105=V58)*DC$3:DC$105)+SUMPRODUCT((DA$3:DA$105=V57)*(DD$3:DD$105=V59)*DC$3:DC$105)+SUMPRODUCT((DA$3:DA$105=V57)*(DD$3:DD$105=V55)*DC$3:DC$105)+SUMPRODUCT((DA$3:DA$105=V57)*(DD$3:DD$105=V56)*DC$3:DC$105)+SUMPRODUCT((DA$3:DA$105=V58)*(DD$3:DD$105=V57)*DB$3:DB$105)+SUMPRODUCT((DA$3:DA$105=V59)*(DD$3:DD$105=V57)*DB$3:DB$105)+SUMPRODUCT((DA$3:DA$105=V55)*(DD$3:DD$105=V57)*DB$3:DB$105)+SUMPRODUCT((DA$3:DA$105=V56)*(DD$3:DD$105=V57)*DB$3:DB$105)</f>
        <v>0</v>
      </c>
      <c r="AB57" s="231">
        <f>Z57-AA57+1000</f>
        <v>1000</v>
      </c>
      <c r="AC57" s="231">
        <f t="shared" si="119"/>
        <v>0</v>
      </c>
      <c r="AD57" s="231">
        <f>IF(V57&lt;&gt;"",VLOOKUP(V57,C$4:I$58,7,FALSE),"")</f>
        <v>1000</v>
      </c>
      <c r="AE57" s="231">
        <f>IF(V57&lt;&gt;"",VLOOKUP(V57,C$4:I$58,5,FALSE),"")</f>
        <v>0</v>
      </c>
      <c r="AF57" s="231">
        <f>IF(V57&lt;&gt;"",VLOOKUP(V57,C$4:K$58,9,FALSE),"")</f>
        <v>-112</v>
      </c>
      <c r="AG57" s="231">
        <f t="shared" si="120"/>
        <v>0</v>
      </c>
      <c r="AH57" s="231">
        <f>IF(V57&lt;&gt;"",RANK(AG57,AG$55:AG$58),"")</f>
        <v>1</v>
      </c>
      <c r="AI57" s="231">
        <f>IF(V57&lt;&gt;"",SUMPRODUCT((AG$55:AG$58=AG57)*(AB$55:AB$58&gt;AB57)),"")</f>
        <v>0</v>
      </c>
      <c r="AJ57" s="231">
        <f>IF(V57&lt;&gt;"",SUMPRODUCT((AG$55:AG$58=AG57)*(AB$55:AB$58=AB57)*(Z$55:Z$58&gt;Z57)),"")</f>
        <v>0</v>
      </c>
      <c r="AK57" s="231">
        <f>IF(V57&lt;&gt;"",SUMPRODUCT((AG$55:AG$58=AG57)*(AB$55:AB$58=AB57)*(Z$55:Z$58=Z57)*(AD$55:AD$58&gt;AD57)),"")</f>
        <v>0</v>
      </c>
      <c r="AL57" s="231">
        <f>IF(V57&lt;&gt;"",SUMPRODUCT((AG$55:AG$58=AG57)*(AB$55:AB$58=AB57)*(Z$55:Z$58=Z57)*(AD$55:AD$58=AD57)*(AE$55:AE$58&gt;AE57)),"")</f>
        <v>0</v>
      </c>
      <c r="AM57" s="231">
        <f>IF(V57&lt;&gt;"",SUMPRODUCT((AG$55:AG$58=AG57)*(AB$55:AB$58=AB57)*(Z$55:Z$58=Z57)*(AD$55:AD$58=AD57)*(AE$55:AE$58=AE57)*(AF$55:AF$58&gt;AF57)),"")</f>
        <v>1</v>
      </c>
      <c r="AN57" s="231">
        <f>IF(V57&lt;&gt;"",IF(AN136&lt;&gt;"",IF(U133=3,AN136,AN136+U133),SUM(AH57:AM57)),"")</f>
        <v>2</v>
      </c>
      <c r="AO57" s="231" t="str">
        <f>IF(V57&lt;&gt;"",INDEX(V$55:V$58,MATCH(3,AN$55:AN$58,0),0),"")</f>
        <v>Norway</v>
      </c>
      <c r="AP57" s="231" t="str">
        <f>IF(R56&lt;&gt;"",R56,"")</f>
        <v/>
      </c>
      <c r="AQ57" s="231">
        <f>SUMPRODUCT((DA$3:DA$105=AP57)*(DD$3:DD$105=AP58)*(DE$3:DE$105="W"))+SUMPRODUCT((DA$3:DA$105=AP57)*(DD$3:DD$105=AP59)*(DE$3:DE$105="W"))+SUMPRODUCT((DA$3:DA$105=AP57)*(DD$3:DD$105=AP56)*(DE$3:DE$105="W"))+SUMPRODUCT((DA$3:DA$105=AP58)*(DD$3:DD$105=AP57)*(DF$3:DF$105="W"))+SUMPRODUCT((DA$3:DA$105=AP59)*(DD$3:DD$105=AP57)*(DF$3:DF$105="W"))+SUMPRODUCT((DA$3:DA$105=AP56)*(DD$3:DD$105=AP57)*(DF$3:DF$105="W"))</f>
        <v>0</v>
      </c>
      <c r="AR57" s="231">
        <f>SUMPRODUCT((DA$3:DA$105=AP57)*(DD$3:DD$105=AP58)*(DE$3:DE$105="D"))+SUMPRODUCT((DA$3:DA$105=AP57)*(DD$3:DD$105=AP59)*(DE$3:DE$105="D"))+SUMPRODUCT((DA$3:DA$105=AP57)*(DD$3:DD$105=AP56)*(DE$3:DE$105="D"))+SUMPRODUCT((DA$3:DA$105=AP58)*(DD$3:DD$105=AP57)*(DE$3:DE$105="D"))+SUMPRODUCT((DA$3:DA$105=AP59)*(DD$3:DD$105=AP57)*(DE$3:DE$105="D"))+SUMPRODUCT((DA$3:DA$105=AP56)*(DD$3:DD$105=AP57)*(DE$3:DE$105="D"))</f>
        <v>0</v>
      </c>
      <c r="AS57" s="231">
        <f>SUMPRODUCT((DA$3:DA$105=AP57)*(DD$3:DD$105=AP58)*(DE$3:DE$105="L"))+SUMPRODUCT((DA$3:DA$105=AP57)*(DD$3:DD$105=AP59)*(DE$3:DE$105="L"))+SUMPRODUCT((DA$3:DA$105=AP57)*(DD$3:DD$105=AP56)*(DE$3:DE$105="L"))+SUMPRODUCT((DA$3:DA$105=AP58)*(DD$3:DD$105=AP57)*(DF$3:DF$105="L"))+SUMPRODUCT((DA$3:DA$105=AP59)*(DD$3:DD$105=AP57)*(DF$3:DF$105="L"))+SUMPRODUCT((DA$3:DA$105=AP56)*(DD$3:DD$105=AP57)*(DF$3:DF$105="L"))</f>
        <v>0</v>
      </c>
      <c r="AT57" s="231">
        <f>SUMPRODUCT((DA$3:DA$105=AP57)*(DD$3:DD$105=AP58)*DB$3:DB$105)+SUMPRODUCT((DA$3:DA$105=AP57)*(DD$3:DD$105=AP59)*DB$3:DB$105)+SUMPRODUCT((DA$3:DA$105=AP57)*(DD$3:DD$105=AP55)*DB$3:DB$105)+SUMPRODUCT((DA$3:DA$105=AP57)*(DD$3:DD$105=AP56)*DB$3:DB$105)+SUMPRODUCT((DA$3:DA$105=AP58)*(DD$3:DD$105=AP57)*DC$3:DC$105)+SUMPRODUCT((DA$3:DA$105=AP59)*(DD$3:DD$105=AP57)*DC$3:DC$105)+SUMPRODUCT((DA$3:DA$105=AP55)*(DD$3:DD$105=AP57)*DC$3:DC$105)+SUMPRODUCT((DA$3:DA$105=AP56)*(DD$3:DD$105=AP57)*DC$3:DC$105)</f>
        <v>0</v>
      </c>
      <c r="AU57" s="231">
        <f>SUMPRODUCT((DA$3:DA$105=AP57)*(DD$3:DD$105=AP58)*DC$3:DC$105)+SUMPRODUCT((DA$3:DA$105=AP57)*(DD$3:DD$105=AP59)*DC$3:DC$105)+SUMPRODUCT((DA$3:DA$105=AP57)*(DD$3:DD$105=AP55)*DC$3:DC$105)+SUMPRODUCT((DA$3:DA$105=AP57)*(DD$3:DD$105=AP56)*DC$3:DC$105)+SUMPRODUCT((DA$3:DA$105=AP58)*(DD$3:DD$105=AP57)*DB$3:DB$105)+SUMPRODUCT((DA$3:DA$105=AP59)*(DD$3:DD$105=AP57)*DB$3:DB$105)+SUMPRODUCT((DA$3:DA$105=AP55)*(DD$3:DD$105=AP57)*DB$3:DB$105)+SUMPRODUCT((DA$3:DA$105=AP56)*(DD$3:DD$105=AP57)*DB$3:DB$105)</f>
        <v>0</v>
      </c>
      <c r="AV57" s="231">
        <f>AT57-AU57+1000</f>
        <v>1000</v>
      </c>
      <c r="AW57" s="231" t="str">
        <f t="shared" si="123"/>
        <v/>
      </c>
      <c r="AX57" s="231" t="str">
        <f>IF(AP57&lt;&gt;"",VLOOKUP(AP57,C$4:I$58,7,FALSE),"")</f>
        <v/>
      </c>
      <c r="AY57" s="231" t="str">
        <f>IF(AP57&lt;&gt;"",VLOOKUP(AP57,C$4:I$58,5,FALSE),"")</f>
        <v/>
      </c>
      <c r="AZ57" s="231" t="str">
        <f>IF(AP57&lt;&gt;"",VLOOKUP(AP57,C$4:K$58,9,FALSE),"")</f>
        <v/>
      </c>
      <c r="BA57" s="231" t="str">
        <f t="shared" si="124"/>
        <v/>
      </c>
      <c r="BB57" s="231" t="str">
        <f>IF(AP57&lt;&gt;"",RANK(BA57,BA$55:BA$58),"")</f>
        <v/>
      </c>
      <c r="BC57" s="231" t="str">
        <f>IF(AP57&lt;&gt;"",SUMPRODUCT((BA$55:BA$58=BA57)*(AV$55:AV$58&gt;AV57)),"")</f>
        <v/>
      </c>
      <c r="BD57" s="231" t="str">
        <f>IF(AP57&lt;&gt;"",SUMPRODUCT((BA$55:BA$58=BA57)*(AV$55:AV$58=AV57)*(AT$55:AT$58&gt;AT57)),"")</f>
        <v/>
      </c>
      <c r="BE57" s="231" t="str">
        <f>IF(AP57&lt;&gt;"",SUMPRODUCT((BA$55:BA$58=BA57)*(AV$55:AV$58=AV57)*(AT$55:AT$58=AT57)*(AX$55:AX$58&gt;AX57)),"")</f>
        <v/>
      </c>
      <c r="BF57" s="231" t="str">
        <f>IF(AP57&lt;&gt;"",SUMPRODUCT((BA$55:BA$58=BA57)*(AV$55:AV$58=AV57)*(AT$55:AT$58=AT57)*(AX$55:AX$58=AX57)*(AY$55:AY$58&gt;AY57)),"")</f>
        <v/>
      </c>
      <c r="BG57" s="231" t="str">
        <f>IF(AP57&lt;&gt;"",SUMPRODUCT((BA$55:BA$58=BA57)*(AV$55:AV$58=AV57)*(AT$55:AT$58=AT57)*(AX$55:AX$58=AX57)*(AY$55:AY$58=AY57)*(AZ$55:AZ$58&gt;AZ57)),"")</f>
        <v/>
      </c>
      <c r="BH57" s="231" t="str">
        <f>IF(AP57&lt;&gt;"",IF(BH136&lt;&gt;"",IF(AO$133=3,BH136,BH136+AO133),SUM(BB57:BG57)+1),"")</f>
        <v/>
      </c>
      <c r="BI57" s="231" t="str">
        <f>IF(AP57&lt;&gt;"",INDEX(AP$56:AP$59,MATCH(3,BH$56:BH$59,0),0),"")</f>
        <v/>
      </c>
      <c r="BJ57" s="231" t="str">
        <f>IF(S55&lt;&gt;"",S55,"")</f>
        <v/>
      </c>
      <c r="BK57" s="231">
        <f>SUMPRODUCT((DA$3:DA$105=BJ57)*(DD$3:DD$105=BJ58)*(DE$3:DE$105="W"))+SUMPRODUCT((DA$3:DA$105=BJ57)*(DD$3:DD$105=BJ59)*(DE$3:DE$105="W"))+SUMPRODUCT((DA$3:DA$105=BJ57)*(DD$3:DD$105=BJ99)*(DE$3:DE$105="W"))+SUMPRODUCT((DA$3:DA$105=BJ58)*(DD$3:DD$105=BJ57)*(DF$3:DF$105="W"))+SUMPRODUCT((DA$3:DA$105=BJ59)*(DD$3:DD$105=BJ57)*(DF$3:DF$105="W"))+SUMPRODUCT((DA$3:DA$105=BJ99)*(DD$3:DD$105=BJ57)*(DF$3:DF$105="W"))</f>
        <v>0</v>
      </c>
      <c r="BL57" s="231">
        <f>SUMPRODUCT((DA$3:DA$105=BJ57)*(DD$3:DD$105=BJ58)*(DE$3:DE$105="D"))+SUMPRODUCT((DA$3:DA$105=BJ57)*(DD$3:DD$105=BJ59)*(DE$3:DE$105="D"))+SUMPRODUCT((DA$3:DA$105=BJ57)*(DD$3:DD$105=BJ99)*(DE$3:DE$105="D"))+SUMPRODUCT((DA$3:DA$105=BJ58)*(DD$3:DD$105=BJ57)*(DE$3:DE$105="D"))+SUMPRODUCT((DA$3:DA$105=BJ59)*(DD$3:DD$105=BJ57)*(DE$3:DE$105="D"))+SUMPRODUCT((DA$3:DA$105=BJ99)*(DD$3:DD$105=BJ57)*(DE$3:DE$105="D"))</f>
        <v>0</v>
      </c>
      <c r="BM57" s="231">
        <f>SUMPRODUCT((DA$3:DA$105=BJ57)*(DD$3:DD$105=BJ58)*(DE$3:DE$105="L"))+SUMPRODUCT((DA$3:DA$105=BJ57)*(DD$3:DD$105=BJ59)*(DE$3:DE$105="L"))+SUMPRODUCT((DA$3:DA$105=BJ57)*(DD$3:DD$105=BJ99)*(DE$3:DE$105="L"))+SUMPRODUCT((DA$3:DA$105=BJ58)*(DD$3:DD$105=BJ57)*(DF$3:DF$105="L"))+SUMPRODUCT((DA$3:DA$105=BJ59)*(DD$3:DD$105=BJ57)*(DF$3:DF$105="L"))+SUMPRODUCT((DA$3:DA$105=BJ99)*(DD$3:DD$105=BJ57)*(DF$3:DF$105="L"))</f>
        <v>0</v>
      </c>
      <c r="BN57" s="231">
        <f>SUMPRODUCT((DA$3:DA$105=BJ57)*(DD$3:DD$105=BJ58)*DB$3:DB$105)+SUMPRODUCT((DA$3:DA$105=BJ57)*(DD$3:DD$105=BJ59)*DB$3:DB$105)+SUMPRODUCT((DA$3:DA$105=BJ57)*(DD$3:DD$105=BJ55)*DB$3:DB$105)+SUMPRODUCT((DA$3:DA$105=BJ57)*(DD$3:DD$105=BJ56)*DB$3:DB$105)+SUMPRODUCT((DA$3:DA$105=BJ58)*(DD$3:DD$105=BJ57)*DC$3:DC$105)+SUMPRODUCT((DA$3:DA$105=BJ59)*(DD$3:DD$105=BJ57)*DC$3:DC$105)+SUMPRODUCT((DA$3:DA$105=BJ55)*(DD$3:DD$105=BJ57)*DC$3:DC$105)+SUMPRODUCT((DA$3:DA$105=BJ56)*(DD$3:DD$105=BJ57)*DC$3:DC$105)</f>
        <v>0</v>
      </c>
      <c r="BO57" s="231">
        <f>SUMPRODUCT((DA$3:DA$105=BJ57)*(DD$3:DD$105=BJ58)*DC$3:DC$105)+SUMPRODUCT((DA$3:DA$105=BJ57)*(DD$3:DD$105=BJ59)*DC$3:DC$105)+SUMPRODUCT((DA$3:DA$105=BJ57)*(DD$3:DD$105=BJ55)*DC$3:DC$105)+SUMPRODUCT((DA$3:DA$105=BJ57)*(DD$3:DD$105=BJ56)*DC$3:DC$105)+SUMPRODUCT((DA$3:DA$105=BJ58)*(DD$3:DD$105=BJ57)*DB$3:DB$105)+SUMPRODUCT((DA$3:DA$105=BJ59)*(DD$3:DD$105=BJ57)*DB$3:DB$105)+SUMPRODUCT((DA$3:DA$105=BJ55)*(DD$3:DD$105=BJ57)*DB$3:DB$105)+SUMPRODUCT((DA$3:DA$105=BJ56)*(DD$3:DD$105=BJ57)*DB$3:DB$105)</f>
        <v>0</v>
      </c>
      <c r="BP57" s="231">
        <f>BN57-BO57+1000</f>
        <v>1000</v>
      </c>
      <c r="BQ57" s="231" t="str">
        <f t="shared" ref="BQ57:BQ58" si="125">IF(BJ57&lt;&gt;"",BK57*3+BL57*1,"")</f>
        <v/>
      </c>
      <c r="BR57" s="231" t="str">
        <f>IF(BJ57&lt;&gt;"",VLOOKUP(BJ57,C$4:I$58,7,FALSE),"")</f>
        <v/>
      </c>
      <c r="BS57" s="231" t="str">
        <f>IF(BJ57&lt;&gt;"",VLOOKUP(BJ57,C$4:I$58,5,FALSE),"")</f>
        <v/>
      </c>
      <c r="BT57" s="231" t="str">
        <f>IF(BJ57&lt;&gt;"",VLOOKUP(BJ57,C$4:K$58,9,FALSE),"")</f>
        <v/>
      </c>
      <c r="BU57" s="231" t="str">
        <f t="shared" ref="BU57:BU58" si="126">BQ57</f>
        <v/>
      </c>
      <c r="BV57" s="231" t="str">
        <f>IF(BJ57&lt;&gt;"",RANK(BU57,BU$56:BU$58),"")</f>
        <v/>
      </c>
      <c r="BW57" s="231" t="str">
        <f>IF(BJ57&lt;&gt;"",SUMPRODUCT((BU$55:BU$58=BU57)*(BP$55:BP$58&gt;BP57)),"")</f>
        <v/>
      </c>
      <c r="BX57" s="231" t="str">
        <f>IF(BJ57&lt;&gt;"",SUMPRODUCT((BU$55:BU$58=BU57)*(BP$55:BP$58=BP57)*(BN$55:BN$58&gt;BN57)),"")</f>
        <v/>
      </c>
      <c r="BY57" s="231" t="str">
        <f>IF(BJ57&lt;&gt;"",SUMPRODUCT((BU$55:BU$58=BU57)*(BP$55:BP$58=BP57)*(BN$55:BN$58=BN57)*(BR$55:BR$58&gt;BR57)),"")</f>
        <v/>
      </c>
      <c r="BZ57" s="231" t="str">
        <f>IF(BJ57&lt;&gt;"",SUMPRODUCT((BU$55:BU$58=BU57)*(BP$55:BP$58=BP57)*(BN$55:BN$58=BN57)*(BR$55:BR$58=BR57)*(BS$55:BS$58&gt;BS57)),"")</f>
        <v/>
      </c>
      <c r="CA57" s="231" t="str">
        <f>IF(BJ57&lt;&gt;"",SUMPRODUCT((BU$55:BU$58=BU57)*(BP$55:BP$58=BP57)*(BN$55:BN$58=BN57)*(BR$55:BR$58=BR57)*(BS$55:BS$58=BS57)*(BT$55:BT$58&gt;BT57)),"")</f>
        <v/>
      </c>
      <c r="CB57" s="231" t="str">
        <f>IF(BJ57&lt;&gt;"",SUM(BV57:CA57)+2,"")</f>
        <v/>
      </c>
      <c r="CC57" s="231" t="str">
        <f>IF(BJ57&lt;&gt;"",INDEX(BJ$57:BJ$59,MATCH(3,CB$57:CB$59,0),0),"")</f>
        <v/>
      </c>
      <c r="CX57" s="231" t="str">
        <f>IF(CC57&lt;&gt;"",CC57,IF(BI57&lt;&gt;"",BI57,IF(AO57&lt;&gt;"",AO57,O57)))</f>
        <v>Norway</v>
      </c>
      <c r="CY57" s="231">
        <v>3</v>
      </c>
      <c r="DA57" s="234" t="str">
        <f>Matches!H58</f>
        <v>Curacao</v>
      </c>
      <c r="DB57" s="234">
        <f>IF($DA$2&lt;&gt;"",IF(AND(Matches!J58&lt;&gt;"",Matches!K58&lt;&gt;""),Matches!J58,0),"")</f>
        <v>0</v>
      </c>
      <c r="DC57" s="234">
        <f>IF($DA$2&lt;&gt;"",IF(AND(Matches!J58&lt;&gt;"",Matches!K58&lt;&gt;""),Matches!K58,0),"")</f>
        <v>0</v>
      </c>
      <c r="DD57" s="234" t="str">
        <f>Matches!M58</f>
        <v>Cote D'Voire</v>
      </c>
      <c r="DE57" s="234" t="str">
        <f>IF(AND(Matches!J58&lt;&gt;"",Matches!K58&lt;&gt;""),IF(DB57&gt;DC57,"W",IF(DB57=DC57,"D","L")),"")</f>
        <v/>
      </c>
      <c r="DF57" s="231" t="str">
        <f t="shared" si="106"/>
        <v/>
      </c>
      <c r="DS57" s="233" t="str">
        <f>Matches!H78</f>
        <v>Group E Winner</v>
      </c>
      <c r="DU57" s="233" t="str">
        <f>IF(ISERROR("Calculator!"&amp;VLOOKUP(DS57,Calculator!$DS$7:$DT$54,2,FALSE)),"Calculator!dr77","Calculator!"&amp;VLOOKUP(DS57,Calculator!$DS$7:$DT$54,2,FALSE))</f>
        <v>Calculator!dr77</v>
      </c>
      <c r="DX57" s="230"/>
      <c r="DY57" s="243">
        <v>51</v>
      </c>
      <c r="DZ57" s="244">
        <f t="shared" si="14"/>
        <v>46197.625</v>
      </c>
      <c r="EA57" s="247">
        <v>46197.625</v>
      </c>
      <c r="EB57" s="246">
        <f t="shared" si="75"/>
        <v>46197.625</v>
      </c>
      <c r="EC57" s="247"/>
    </row>
    <row r="58" spans="1:135" x14ac:dyDescent="0.25">
      <c r="A58" s="230">
        <f>Setup!F43+100</f>
        <v>132</v>
      </c>
      <c r="B58" s="231">
        <f>VLOOKUP(C58,CX$55:CY$58,2,FALSE)</f>
        <v>3</v>
      </c>
      <c r="C58" s="232" t="str">
        <f t="shared" si="121"/>
        <v>Norway</v>
      </c>
      <c r="D58" s="231">
        <f>SUMPRODUCT((DA$3:DA$105=C58)*(DE$3:DE$105="W"))+SUMPRODUCT((DD$3:DD$105=C58)*(DF$3:DF$105="W"))</f>
        <v>0</v>
      </c>
      <c r="E58" s="231">
        <f>SUMPRODUCT((DA$3:DA$105=C58)*(DE$3:DE$105="D"))+SUMPRODUCT((DD$3:DD$105=C58)*(DF$3:DF$105="D"))</f>
        <v>0</v>
      </c>
      <c r="F58" s="231">
        <f>SUMPRODUCT((DA$3:DA$105=C58)*(DE$3:DE$105="L"))+SUMPRODUCT((DD$3:DD$105=C58)*(DF$3:DF$105="L"))</f>
        <v>0</v>
      </c>
      <c r="G58" s="231">
        <f>SUMIF(DA$3:DA$123,C58,DB$3:DB$123)+SUMIF(DD$3:DD$123,C58,DC$3:DC$123)</f>
        <v>0</v>
      </c>
      <c r="H58" s="231">
        <f>SUMIF(DD$3:DD$123,C58,DB$3:DB$123)+SUMIF(DA$3:DA$123,C58,DC$3:DC$123)</f>
        <v>0</v>
      </c>
      <c r="I58" s="231">
        <f t="shared" si="117"/>
        <v>1000</v>
      </c>
      <c r="J58" s="231">
        <f t="shared" si="118"/>
        <v>0</v>
      </c>
      <c r="K58" s="231">
        <f>IF(Setup!G43&lt;&gt;"",Setup!G43,-A58)</f>
        <v>-132</v>
      </c>
      <c r="L58" s="231">
        <f>IF(COUNTIF(J$55:J$58,4)&lt;&gt;4,RANK(J58,J$55:J$58),J137)</f>
        <v>1</v>
      </c>
      <c r="N58" s="231">
        <f>SUMPRODUCT((L$55:L$58=L58)*(K$55:K$58&lt;K58))+L58</f>
        <v>2</v>
      </c>
      <c r="O58" s="232" t="str">
        <f>INDEX(C$55:C$58,MATCH(4,N$55:N$58,0),0)</f>
        <v>France</v>
      </c>
      <c r="P58" s="231">
        <f>INDEX(L$55:L$58,MATCH(O58,C$55:C$58,0),0)</f>
        <v>1</v>
      </c>
      <c r="Q58" s="231" t="str">
        <f>IF(AND(Q57&lt;&gt;"",P58=1),O58,"")</f>
        <v>France</v>
      </c>
      <c r="R58" s="231" t="str">
        <f>IF(AND(R57&lt;&gt;"",P59=2),O59,"")</f>
        <v/>
      </c>
      <c r="V58" s="231" t="str">
        <f t="shared" si="122"/>
        <v>France</v>
      </c>
      <c r="W58" s="231">
        <f>SUMPRODUCT((DA$3:DA$105=V58)*(DD$3:DD$105=V59)*(DE$3:DE$105="W"))+SUMPRODUCT((DA$3:DA$105=V58)*(DD$3:DD$105=V55)*(DE$3:DE$105="W"))+SUMPRODUCT((DA$3:DA$105=V58)*(DD$3:DD$105=V56)*(DE$3:DE$105="W"))+SUMPRODUCT((DA$3:DA$105=V58)*(DD$3:DD$105=V57)*(DE$3:DE$105="W"))+SUMPRODUCT((DA$3:DA$105=V59)*(DD$3:DD$105=V58)*(DF$3:DF$105="W"))+SUMPRODUCT((DA$3:DA$105=V55)*(DD$3:DD$105=V58)*(DF$3:DF$105="W"))+SUMPRODUCT((DA$3:DA$105=V56)*(DD$3:DD$105=V58)*(DF$3:DF$105="W"))+SUMPRODUCT((DA$3:DA$105=V57)*(DD$3:DD$105=V58)*(DF$3:DF$105="W"))</f>
        <v>0</v>
      </c>
      <c r="X58" s="231">
        <f>SUMPRODUCT((DA$3:DA$105=V58)*(DD$3:DD$105=V59)*(DE$3:DE$105="D"))+SUMPRODUCT((DA$3:DA$105=V58)*(DD$3:DD$105=V55)*(DE$3:DE$105="D"))+SUMPRODUCT((DA$3:DA$105=V58)*(DD$3:DD$105=V56)*(DE$3:DE$105="D"))+SUMPRODUCT((DA$3:DA$105=V58)*(DD$3:DD$105=V57)*(DE$3:DE$105="D"))+SUMPRODUCT((DA$3:DA$105=V59)*(DD$3:DD$105=V58)*(DE$3:DE$105="D"))+SUMPRODUCT((DA$3:DA$105=V55)*(DD$3:DD$105=V58)*(DE$3:DE$105="D"))+SUMPRODUCT((DA$3:DA$105=V56)*(DD$3:DD$105=V58)*(DE$3:DE$105="D"))+SUMPRODUCT((DA$3:DA$105=V57)*(DD$3:DD$105=V58)*(DE$3:DE$105="D"))</f>
        <v>0</v>
      </c>
      <c r="Y58" s="231">
        <f>SUMPRODUCT((DA$3:DA$105=V58)*(DD$3:DD$105=V59)*(DE$3:DE$105="L"))+SUMPRODUCT((DA$3:DA$105=V58)*(DD$3:DD$105=V55)*(DE$3:DE$105="L"))+SUMPRODUCT((DA$3:DA$105=V58)*(DD$3:DD$105=V56)*(DE$3:DE$105="L"))+SUMPRODUCT((DA$3:DA$105=V58)*(DD$3:DD$105=V57)*(DE$3:DE$105="L"))+SUMPRODUCT((DA$3:DA$105=V59)*(DD$3:DD$105=V58)*(DF$3:DF$105="L"))+SUMPRODUCT((DA$3:DA$105=V55)*(DD$3:DD$105=V58)*(DF$3:DF$105="L"))+SUMPRODUCT((DA$3:DA$105=V56)*(DD$3:DD$105=V58)*(DF$3:DF$105="L"))+SUMPRODUCT((DA$3:DA$105=V57)*(DD$3:DD$105=V58)*(DF$3:DF$105="L"))</f>
        <v>0</v>
      </c>
      <c r="Z58" s="231">
        <f>SUMPRODUCT((DA$3:DA$105=V58)*(DD$3:DD$105=V59)*DB$3:DB$105)+SUMPRODUCT((DA$3:DA$105=V58)*(DD$3:DD$105=V55)*DB$3:DB$105)+SUMPRODUCT((DA$3:DA$105=V58)*(DD$3:DD$105=V56)*DB$3:DB$105)+SUMPRODUCT((DA$3:DA$105=V58)*(DD$3:DD$105=V57)*DB$3:DB$105)+SUMPRODUCT((DA$3:DA$105=V59)*(DD$3:DD$105=V58)*DC$3:DC$105)+SUMPRODUCT((DA$3:DA$105=V55)*(DD$3:DD$105=V58)*DC$3:DC$105)+SUMPRODUCT((DA$3:DA$105=V56)*(DD$3:DD$105=V58)*DC$3:DC$105)+SUMPRODUCT((DA$3:DA$105=V57)*(DD$3:DD$105=V58)*DC$3:DC$105)</f>
        <v>0</v>
      </c>
      <c r="AA58" s="231">
        <f>SUMPRODUCT((DA$3:DA$105=V58)*(DD$3:DD$105=V59)*DC$3:DC$105)+SUMPRODUCT((DA$3:DA$105=V58)*(DD$3:DD$105=V55)*DC$3:DC$105)+SUMPRODUCT((DA$3:DA$105=V58)*(DD$3:DD$105=V56)*DC$3:DC$105)+SUMPRODUCT((DA$3:DA$105=V58)*(DD$3:DD$105=V57)*DC$3:DC$105)+SUMPRODUCT((DA$3:DA$105=V59)*(DD$3:DD$105=V58)*DB$3:DB$105)+SUMPRODUCT((DA$3:DA$105=V55)*(DD$3:DD$105=V58)*DB$3:DB$105)+SUMPRODUCT((DA$3:DA$105=V56)*(DD$3:DD$105=V58)*DB$3:DB$105)+SUMPRODUCT((DA$3:DA$105=V57)*(DD$3:DD$105=V58)*DB$3:DB$105)</f>
        <v>0</v>
      </c>
      <c r="AB58" s="231">
        <f>Z58-AA58+1000</f>
        <v>1000</v>
      </c>
      <c r="AC58" s="231">
        <f t="shared" si="119"/>
        <v>0</v>
      </c>
      <c r="AD58" s="231">
        <f>IF(V58&lt;&gt;"",VLOOKUP(V58,C$4:I$58,7,FALSE),"")</f>
        <v>1000</v>
      </c>
      <c r="AE58" s="231">
        <f>IF(V58&lt;&gt;"",VLOOKUP(V58,C$4:I$58,5,FALSE),"")</f>
        <v>0</v>
      </c>
      <c r="AF58" s="231">
        <f>IF(V58&lt;&gt;"",VLOOKUP(V58,C$4:K$58,9,FALSE),"")</f>
        <v>-103</v>
      </c>
      <c r="AG58" s="231">
        <f t="shared" si="120"/>
        <v>0</v>
      </c>
      <c r="AH58" s="231">
        <f>IF(V58&lt;&gt;"",RANK(AG58,AG$55:AG$58),"")</f>
        <v>1</v>
      </c>
      <c r="AI58" s="231">
        <f>IF(V58&lt;&gt;"",SUMPRODUCT((AG$55:AG$58=AG58)*(AB$55:AB$58&gt;AB58)),"")</f>
        <v>0</v>
      </c>
      <c r="AJ58" s="231">
        <f>IF(V58&lt;&gt;"",SUMPRODUCT((AG$55:AG$58=AG58)*(AB$55:AB$58=AB58)*(Z$55:Z$58&gt;Z58)),"")</f>
        <v>0</v>
      </c>
      <c r="AK58" s="231">
        <f>IF(V58&lt;&gt;"",SUMPRODUCT((AG$55:AG$58=AG58)*(AB$55:AB$58=AB58)*(Z$55:Z$58=Z58)*(AD$55:AD$58&gt;AD58)),"")</f>
        <v>0</v>
      </c>
      <c r="AL58" s="231">
        <f>IF(V58&lt;&gt;"",SUMPRODUCT((AG$55:AG$58=AG58)*(AB$55:AB$58=AB58)*(Z$55:Z$58=Z58)*(AD$55:AD$58=AD58)*(AE$55:AE$58&gt;AE58)),"")</f>
        <v>0</v>
      </c>
      <c r="AM58" s="231">
        <f>IF(V58&lt;&gt;"",SUMPRODUCT((AG$55:AG$58=AG58)*(AB$55:AB$58=AB58)*(Z$55:Z$58=Z58)*(AD$55:AD$58=AD58)*(AE$55:AE$58=AE58)*(AF$55:AF$58&gt;AF58)),"")</f>
        <v>0</v>
      </c>
      <c r="AN58" s="231">
        <f>IF(V58&lt;&gt;"",IF(AN137&lt;&gt;"",IF(U133=3,AN137,AN137+U133),SUM(AH58:AM58)),"")</f>
        <v>1</v>
      </c>
      <c r="AO58" s="231" t="str">
        <f>IF(V58&lt;&gt;"",INDEX(V$55:V$58,MATCH(4,AN$55:AN$58,0),0),"")</f>
        <v>Iraq</v>
      </c>
      <c r="AP58" s="231" t="str">
        <f>IF(R57&lt;&gt;"",R57,"")</f>
        <v/>
      </c>
      <c r="AQ58" s="231" t="str">
        <f>IF(AP58&lt;&gt;"",SUMPRODUCT((DA$3:DA$105=AP58)*(DD$3:DD$105=AP59)*(DE$3:DE$105="W"))+SUMPRODUCT((DA$3:DA$105=AP58)*(DD$3:DD$105=AP56)*(DE$3:DE$105="W"))+SUMPRODUCT((DA$3:DA$105=AP58)*(DD$3:DD$105=AP57)*(DE$3:DE$105="W"))+SUMPRODUCT((DA$3:DA$105=AP59)*(DD$3:DD$105=AP58)*(DF$3:DF$105="W"))+SUMPRODUCT((DA$3:DA$105=AP56)*(DD$3:DD$105=AP58)*(DF$3:DF$105="W"))+SUMPRODUCT((DA$3:DA$105=AP57)*(DD$3:DD$105=AP58)*(DF$3:DF$105="W")),"")</f>
        <v/>
      </c>
      <c r="AR58" s="231" t="str">
        <f>IF(AP58&lt;&gt;"",SUMPRODUCT((DA$3:DA$105=AP58)*(DD$3:DD$105=AP59)*(DE$3:DE$105="D"))+SUMPRODUCT((DA$3:DA$105=AP58)*(DD$3:DD$105=AP56)*(DE$3:DE$105="D"))+SUMPRODUCT((DA$3:DA$105=AP58)*(DD$3:DD$105=AP57)*(DE$3:DE$105="D"))+SUMPRODUCT((DA$3:DA$105=AP59)*(DD$3:DD$105=AP58)*(DE$3:DE$105="D"))+SUMPRODUCT((DA$3:DA$105=AP56)*(DD$3:DD$105=AP58)*(DE$3:DE$105="D"))+SUMPRODUCT((DA$3:DA$105=AP57)*(DD$3:DD$105=AP58)*(DE$3:DE$105="D")),"")</f>
        <v/>
      </c>
      <c r="AS58" s="231" t="str">
        <f>IF(AP58&lt;&gt;"",SUMPRODUCT((DA$3:DA$105=AP58)*(DD$3:DD$105=AP59)*(DE$3:DE$105="L"))+SUMPRODUCT((DA$3:DA$105=AP58)*(DD$3:DD$105=AP56)*(DE$3:DE$105="L"))+SUMPRODUCT((DA$3:DA$105=AP58)*(DD$3:DD$105=AP57)*(DE$3:DE$105="L"))+SUMPRODUCT((DA$3:DA$105=AP59)*(DD$3:DD$105=AP58)*(DF$3:DF$105="L"))+SUMPRODUCT((DA$3:DA$105=AP56)*(DD$3:DD$105=AP58)*(DF$3:DF$105="L"))+SUMPRODUCT((DA$3:DA$105=AP57)*(DD$3:DD$105=AP58)*(DF$3:DF$105="L")),"")</f>
        <v/>
      </c>
      <c r="AT58" s="231">
        <f>SUMPRODUCT((DA$3:DA$105=AP58)*(DD$3:DD$105=AP59)*DB$3:DB$105)+SUMPRODUCT((DA$3:DA$105=AP58)*(DD$3:DD$105=AP55)*DB$3:DB$105)+SUMPRODUCT((DA$3:DA$105=AP58)*(DD$3:DD$105=AP56)*DB$3:DB$105)+SUMPRODUCT((DA$3:DA$105=AP58)*(DD$3:DD$105=AP57)*DB$3:DB$105)+SUMPRODUCT((DA$3:DA$105=AP59)*(DD$3:DD$105=AP58)*DC$3:DC$105)+SUMPRODUCT((DA$3:DA$105=AP55)*(DD$3:DD$105=AP58)*DC$3:DC$105)+SUMPRODUCT((DA$3:DA$105=AP56)*(DD$3:DD$105=AP58)*DC$3:DC$105)+SUMPRODUCT((DA$3:DA$105=AP57)*(DD$3:DD$105=AP58)*DC$3:DC$105)</f>
        <v>0</v>
      </c>
      <c r="AU58" s="231">
        <f>SUMPRODUCT((DA$3:DA$105=AP58)*(DD$3:DD$105=AP59)*DC$3:DC$105)+SUMPRODUCT((DA$3:DA$105=AP58)*(DD$3:DD$105=AP55)*DC$3:DC$105)+SUMPRODUCT((DA$3:DA$105=AP58)*(DD$3:DD$105=AP56)*DC$3:DC$105)+SUMPRODUCT((DA$3:DA$105=AP58)*(DD$3:DD$105=AP57)*DC$3:DC$105)+SUMPRODUCT((DA$3:DA$105=AP59)*(DD$3:DD$105=AP58)*DB$3:DB$105)+SUMPRODUCT((DA$3:DA$105=AP55)*(DD$3:DD$105=AP58)*DB$3:DB$105)+SUMPRODUCT((DA$3:DA$105=AP56)*(DD$3:DD$105=AP58)*DB$3:DB$105)+SUMPRODUCT((DA$3:DA$105=AP57)*(DD$3:DD$105=AP58)*DB$3:DB$105)</f>
        <v>0</v>
      </c>
      <c r="AV58" s="231">
        <f>AT58-AU58+1000</f>
        <v>1000</v>
      </c>
      <c r="AW58" s="231" t="str">
        <f t="shared" si="123"/>
        <v/>
      </c>
      <c r="AX58" s="231" t="str">
        <f>IF(AP58&lt;&gt;"",VLOOKUP(AP58,C$4:I$58,7,FALSE),"")</f>
        <v/>
      </c>
      <c r="AY58" s="231" t="str">
        <f>IF(AP58&lt;&gt;"",VLOOKUP(AP58,C$4:I$58,5,FALSE),"")</f>
        <v/>
      </c>
      <c r="AZ58" s="231" t="str">
        <f>IF(AP58&lt;&gt;"",VLOOKUP(AP58,C$4:K$58,9,FALSE),"")</f>
        <v/>
      </c>
      <c r="BA58" s="231" t="str">
        <f t="shared" si="124"/>
        <v/>
      </c>
      <c r="BB58" s="231" t="str">
        <f>IF(AP58&lt;&gt;"",RANK(BA58,BA$55:BA$58),"")</f>
        <v/>
      </c>
      <c r="BC58" s="231" t="str">
        <f>IF(AP58&lt;&gt;"",SUMPRODUCT((BA$55:BA$58=BA58)*(AV$55:AV$58&gt;AV58)),"")</f>
        <v/>
      </c>
      <c r="BD58" s="231" t="str">
        <f>IF(AP58&lt;&gt;"",SUMPRODUCT((BA$55:BA$58=BA58)*(AV$55:AV$58=AV58)*(AT$55:AT$58&gt;AT58)),"")</f>
        <v/>
      </c>
      <c r="BE58" s="231" t="str">
        <f>IF(AP58&lt;&gt;"",SUMPRODUCT((BA$55:BA$58=BA58)*(AV$55:AV$58=AV58)*(AT$55:AT$58=AT58)*(AX$55:AX$58&gt;AX58)),"")</f>
        <v/>
      </c>
      <c r="BF58" s="231" t="str">
        <f>IF(AP58&lt;&gt;"",SUMPRODUCT((BA$55:BA$58=BA58)*(AV$55:AV$58=AV58)*(AT$55:AT$58=AT58)*(AX$55:AX$58=AX58)*(AY$55:AY$58&gt;AY58)),"")</f>
        <v/>
      </c>
      <c r="BG58" s="231" t="str">
        <f>IF(AP58&lt;&gt;"",SUMPRODUCT((BA$55:BA$58=BA58)*(AV$55:AV$58=AV58)*(AT$55:AT$58=AT58)*(AX$55:AX$58=AX58)*(AY$55:AY$58=AY58)*(AZ$55:AZ$58&gt;AZ58)),"")</f>
        <v/>
      </c>
      <c r="BH58" s="231" t="str">
        <f>IF(AP58&lt;&gt;"",IF(BH137&lt;&gt;"",IF(AO$133=3,BH137,BH137+AO133),SUM(BB58:BG58)+1),"")</f>
        <v/>
      </c>
      <c r="BI58" s="231" t="str">
        <f>IF(AP58&lt;&gt;"",INDEX(AP$56:AP$59,MATCH(4,BH$56:BH$59,0),0),"")</f>
        <v/>
      </c>
      <c r="BJ58" s="231" t="str">
        <f>IF(S56&lt;&gt;"",S56,"")</f>
        <v/>
      </c>
      <c r="BK58" s="231">
        <f>SUMPRODUCT((DA$3:DA$105=BJ58)*(DD$3:DD$105=BJ59)*(DE$3:DE$105="W"))+SUMPRODUCT((DA$3:DA$105=BJ58)*(DD$3:DD$105=BJ99)*(DE$3:DE$105="W"))+SUMPRODUCT((DA$3:DA$105=BJ58)*(DD$3:DD$105=BJ57)*(DE$3:DE$105="W"))+SUMPRODUCT((DA$3:DA$105=BJ59)*(DD$3:DD$105=BJ58)*(DF$3:DF$105="W"))+SUMPRODUCT((DA$3:DA$105=BJ99)*(DD$3:DD$105=BJ58)*(DF$3:DF$105="W"))+SUMPRODUCT((DA$3:DA$105=BJ57)*(DD$3:DD$105=BJ58)*(DF$3:DF$105="W"))</f>
        <v>0</v>
      </c>
      <c r="BL58" s="231">
        <f>SUMPRODUCT((DA$3:DA$105=BJ58)*(DD$3:DD$105=BJ59)*(DE$3:DE$105="D"))+SUMPRODUCT((DA$3:DA$105=BJ58)*(DD$3:DD$105=BJ99)*(DE$3:DE$105="D"))+SUMPRODUCT((DA$3:DA$105=BJ58)*(DD$3:DD$105=BJ57)*(DE$3:DE$105="D"))+SUMPRODUCT((DA$3:DA$105=BJ59)*(DD$3:DD$105=BJ58)*(DE$3:DE$105="D"))+SUMPRODUCT((DA$3:DA$105=BJ99)*(DD$3:DD$105=BJ58)*(DE$3:DE$105="D"))+SUMPRODUCT((DA$3:DA$105=BJ57)*(DD$3:DD$105=BJ58)*(DE$3:DE$105="D"))</f>
        <v>0</v>
      </c>
      <c r="BM58" s="231">
        <f>SUMPRODUCT((DA$3:DA$105=BJ58)*(DD$3:DD$105=BJ59)*(DE$3:DE$105="L"))+SUMPRODUCT((DA$3:DA$105=BJ58)*(DD$3:DD$105=BJ99)*(DE$3:DE$105="L"))+SUMPRODUCT((DA$3:DA$105=BJ58)*(DD$3:DD$105=BJ57)*(DE$3:DE$105="L"))+SUMPRODUCT((DA$3:DA$105=BJ59)*(DD$3:DD$105=BJ58)*(DF$3:DF$105="L"))+SUMPRODUCT((DA$3:DA$105=BJ99)*(DD$3:DD$105=BJ58)*(DF$3:DF$105="L"))+SUMPRODUCT((DA$3:DA$105=BJ57)*(DD$3:DD$105=BJ58)*(DF$3:DF$105="L"))</f>
        <v>0</v>
      </c>
      <c r="BN58" s="231">
        <f>SUMPRODUCT((DA$3:DA$105=BJ58)*(DD$3:DD$105=BJ59)*DB$3:DB$105)+SUMPRODUCT((DA$3:DA$105=BJ58)*(DD$3:DD$105=BJ55)*DB$3:DB$105)+SUMPRODUCT((DA$3:DA$105=BJ58)*(DD$3:DD$105=BJ56)*DB$3:DB$105)+SUMPRODUCT((DA$3:DA$105=BJ58)*(DD$3:DD$105=BJ57)*DB$3:DB$105)+SUMPRODUCT((DA$3:DA$105=BJ59)*(DD$3:DD$105=BJ58)*DC$3:DC$105)+SUMPRODUCT((DA$3:DA$105=BJ55)*(DD$3:DD$105=BJ58)*DC$3:DC$105)+SUMPRODUCT((DA$3:DA$105=BJ56)*(DD$3:DD$105=BJ58)*DC$3:DC$105)+SUMPRODUCT((DA$3:DA$105=BJ57)*(DD$3:DD$105=BJ58)*DC$3:DC$105)</f>
        <v>0</v>
      </c>
      <c r="BO58" s="231">
        <f>SUMPRODUCT((DA$3:DA$105=BJ58)*(DD$3:DD$105=BJ59)*DC$3:DC$105)+SUMPRODUCT((DA$3:DA$105=BJ58)*(DD$3:DD$105=BJ55)*DC$3:DC$105)+SUMPRODUCT((DA$3:DA$105=BJ58)*(DD$3:DD$105=BJ56)*DC$3:DC$105)+SUMPRODUCT((DA$3:DA$105=BJ58)*(DD$3:DD$105=BJ57)*DC$3:DC$105)+SUMPRODUCT((DA$3:DA$105=BJ59)*(DD$3:DD$105=BJ58)*DB$3:DB$105)+SUMPRODUCT((DA$3:DA$105=BJ55)*(DD$3:DD$105=BJ58)*DB$3:DB$105)+SUMPRODUCT((DA$3:DA$105=BJ56)*(DD$3:DD$105=BJ58)*DB$3:DB$105)+SUMPRODUCT((DA$3:DA$105=BJ57)*(DD$3:DD$105=BJ58)*DB$3:DB$105)</f>
        <v>0</v>
      </c>
      <c r="BP58" s="231">
        <f>BN58-BO58+1000</f>
        <v>1000</v>
      </c>
      <c r="BQ58" s="231" t="str">
        <f t="shared" si="125"/>
        <v/>
      </c>
      <c r="BR58" s="231" t="str">
        <f>IF(BJ58&lt;&gt;"",VLOOKUP(BJ58,C$4:I$58,7,FALSE),"")</f>
        <v/>
      </c>
      <c r="BS58" s="231" t="str">
        <f>IF(BJ58&lt;&gt;"",VLOOKUP(BJ58,C$4:I$58,5,FALSE),"")</f>
        <v/>
      </c>
      <c r="BT58" s="231" t="str">
        <f>IF(BJ58&lt;&gt;"",VLOOKUP(BJ58,C$4:K$58,9,FALSE),"")</f>
        <v/>
      </c>
      <c r="BU58" s="231" t="str">
        <f t="shared" si="126"/>
        <v/>
      </c>
      <c r="BV58" s="231" t="str">
        <f>IF(BJ58&lt;&gt;"",RANK(BU58,BU$56:BU$58),"")</f>
        <v/>
      </c>
      <c r="BW58" s="231" t="str">
        <f>IF(BJ58&lt;&gt;"",SUMPRODUCT((BU$55:BU$58=BU58)*(BP$55:BP$58&gt;BP58)),"")</f>
        <v/>
      </c>
      <c r="BX58" s="231" t="str">
        <f>IF(BJ58&lt;&gt;"",SUMPRODUCT((BU$55:BU$58=BU58)*(BP$55:BP$58=BP58)*(BN$55:BN$58&gt;BN58)),"")</f>
        <v/>
      </c>
      <c r="BY58" s="231" t="str">
        <f>IF(BJ58&lt;&gt;"",SUMPRODUCT((BU$55:BU$58=BU58)*(BP$55:BP$58=BP58)*(BN$55:BN$58=BN58)*(BR$55:BR$58&gt;BR58)),"")</f>
        <v/>
      </c>
      <c r="BZ58" s="231" t="str">
        <f>IF(BJ58&lt;&gt;"",SUMPRODUCT((BU$55:BU$58=BU58)*(BP$55:BP$58=BP58)*(BN$55:BN$58=BN58)*(BR$55:BR$58=BR58)*(BS$55:BS$58&gt;BS58)),"")</f>
        <v/>
      </c>
      <c r="CA58" s="231" t="str">
        <f>IF(BJ58&lt;&gt;"",SUMPRODUCT((BU$55:BU$58=BU58)*(BP$55:BP$58=BP58)*(BN$55:BN$58=BN58)*(BR$55:BR$58=BR58)*(BS$55:BS$58=BS58)*(BT$55:BT$58&gt;BT58)),"")</f>
        <v/>
      </c>
      <c r="CB58" s="231" t="str">
        <f>IF(BJ58&lt;&gt;"",SUM(BV58:CA58)+2,"")</f>
        <v/>
      </c>
      <c r="CC58" s="231" t="str">
        <f>IF(BJ58&lt;&gt;"",INDEX(BJ$57:BJ$59,MATCH(4,CB$57:CB$59,0),0),"")</f>
        <v/>
      </c>
      <c r="CD58" s="231" t="str">
        <f>IF(T55&lt;&gt;"",T55,"")</f>
        <v/>
      </c>
      <c r="CE58" s="231">
        <f>SUMPRODUCT((DA$3:DA$105=CD58)*(DD$3:DD$105=CD59)*(DE$3:DE$105="W"))+SUMPRODUCT((DA$3:DA$105=CD58)*(DD$3:DD$105=CD99)*(DE$3:DE$105="W"))+SUMPRODUCT((DA$3:DA$105=CD58)*(DD$3:DD$105=CD100)*(DE$3:DE$105="W"))+SUMPRODUCT((DA$3:DA$105=CD59)*(DD$3:DD$105=CD58)*(DF$3:DF$105="W"))+SUMPRODUCT((DA$3:DA$105=CD99)*(DD$3:DD$105=CD58)*(DF$3:DF$105="W"))+SUMPRODUCT((DA$3:DA$105=CD100)*(DD$3:DD$105=CD58)*(DF$3:DF$105="W"))</f>
        <v>0</v>
      </c>
      <c r="CF58" s="231">
        <f>SUMPRODUCT((DA$3:DA$105=CD58)*(DD$3:DD$105=CD59)*(DE$3:DE$105="D"))+SUMPRODUCT((DA$3:DA$105=CD58)*(DD$3:DD$105=CD99)*(DE$3:DE$105="D"))+SUMPRODUCT((DA$3:DA$105=CD58)*(DD$3:DD$105=CD100)*(DE$3:DE$105="D"))+SUMPRODUCT((DA$3:DA$105=CD59)*(DD$3:DD$105=CD58)*(DE$3:DE$105="D"))+SUMPRODUCT((DA$3:DA$105=CD99)*(DD$3:DD$105=CD58)*(DE$3:DE$105="D"))+SUMPRODUCT((DA$3:DA$105=CD100)*(DD$3:DD$105=CD58)*(DE$3:DE$105="D"))</f>
        <v>0</v>
      </c>
      <c r="CG58" s="231">
        <f>SUMPRODUCT((DA$3:DA$105=CD58)*(DD$3:DD$105=CD59)*(DE$3:DE$105="L"))+SUMPRODUCT((DA$3:DA$105=CD58)*(DD$3:DD$105=CD99)*(DE$3:DE$105="L"))+SUMPRODUCT((DA$3:DA$105=CD58)*(DD$3:DD$105=CD100)*(DE$3:DE$105="L"))+SUMPRODUCT((DA$3:DA$105=CD59)*(DD$3:DD$105=CD58)*(DF$3:DF$105="L"))+SUMPRODUCT((DA$3:DA$105=CD99)*(DD$3:DD$105=CD58)*(DF$3:DF$105="L"))+SUMPRODUCT((DA$3:DA$105=CD100)*(DD$3:DD$105=CD58)*(DF$3:DF$105="L"))</f>
        <v>0</v>
      </c>
      <c r="CH58" s="231">
        <f>SUMPRODUCT((DA$3:DA$105=CD58)*(DD$3:DD$105=CD59)*DB$3:DB$105)+SUMPRODUCT((DA$3:DA$105=CD58)*(DD$3:DD$105=CD55)*DB$3:DB$105)+SUMPRODUCT((DA$3:DA$105=CD58)*(DD$3:DD$105=CD56)*DB$3:DB$105)+SUMPRODUCT((DA$3:DA$105=CD58)*(DD$3:DD$105=CD57)*DB$3:DB$105)+SUMPRODUCT((DA$3:DA$105=CD59)*(DD$3:DD$105=CD58)*DC$3:DC$105)+SUMPRODUCT((DA$3:DA$105=CD55)*(DD$3:DD$105=CD58)*DC$3:DC$105)+SUMPRODUCT((DA$3:DA$105=CD56)*(DD$3:DD$105=CD58)*DC$3:DC$105)+SUMPRODUCT((DA$3:DA$105=CD57)*(DD$3:DD$105=CD58)*DC$3:DC$105)</f>
        <v>0</v>
      </c>
      <c r="CI58" s="231">
        <f>SUMPRODUCT((DA$3:DA$105=CD58)*(DD$3:DD$105=CD59)*DC$3:DC$105)+SUMPRODUCT((DA$3:DA$105=CD58)*(DD$3:DD$105=CD55)*DC$3:DC$105)+SUMPRODUCT((DA$3:DA$105=CD58)*(DD$3:DD$105=CD56)*DC$3:DC$105)+SUMPRODUCT((DA$3:DA$105=CD58)*(DD$3:DD$105=CD57)*DC$3:DC$105)+SUMPRODUCT((DA$3:DA$105=CD59)*(DD$3:DD$105=CD58)*DB$3:DB$105)+SUMPRODUCT((DA$3:DA$105=CD55)*(DD$3:DD$105=CD58)*DB$3:DB$105)+SUMPRODUCT((DA$3:DA$105=CD56)*(DD$3:DD$105=CD58)*DB$3:DB$105)+SUMPRODUCT((DA$3:DA$105=CD57)*(DD$3:DD$105=CD58)*DB$3:DB$105)</f>
        <v>0</v>
      </c>
      <c r="CJ58" s="231">
        <f>CH58-CI58+1000</f>
        <v>1000</v>
      </c>
      <c r="CK58" s="231" t="str">
        <f t="shared" ref="CK58" si="127">IF(CD58&lt;&gt;"",CE58*3+CF58*1,"")</f>
        <v/>
      </c>
      <c r="CL58" s="231" t="str">
        <f>IF(CD58&lt;&gt;"",VLOOKUP(CD58,C$4:I$58,7,FALSE),"")</f>
        <v/>
      </c>
      <c r="CM58" s="231" t="str">
        <f>IF(CD58&lt;&gt;"",VLOOKUP(CD58,C$4:I$58,5,FALSE),"")</f>
        <v/>
      </c>
      <c r="CN58" s="231" t="str">
        <f>IF(CD58&lt;&gt;"",VLOOKUP(CD58,C$4:K$58,9,FALSE),"")</f>
        <v/>
      </c>
      <c r="CO58" s="231" t="str">
        <f t="shared" ref="CO58" si="128">CK58</f>
        <v/>
      </c>
      <c r="CP58" s="231" t="str">
        <f>IF(CD58&lt;&gt;"",RANK(CO58,AG55:AG59),"")</f>
        <v/>
      </c>
      <c r="CQ58" s="231" t="str">
        <f>IF(CD58&lt;&gt;"",SUMPRODUCT((CO55:CO59=CO58)*(CJ55:CJ59&gt;CJ58)),"")</f>
        <v/>
      </c>
      <c r="CR58" s="231" t="str">
        <f>IF(CD58&lt;&gt;"",SUMPRODUCT((CO55:CO59=CO58)*(CJ55:CJ59=CJ58)*(CH55:CH59&gt;CH58)),"")</f>
        <v/>
      </c>
      <c r="CS58" s="231" t="str">
        <f>IF(CD58&lt;&gt;"",SUMPRODUCT((CO55:CO59=CO58)*(CJ55:CJ59=CJ58)*(CH55:CH59=CH58)*(CL55:CL59&gt;CL58)),"")</f>
        <v/>
      </c>
      <c r="CT58" s="231" t="str">
        <f>IF(CD58&lt;&gt;"",SUMPRODUCT((CO55:CO59=CO58)*(CJ55:CJ59=CJ58)*(CH55:CH59=CH58)*(CL55:CL59=CL58)*(CM55:CM59&gt;CM58)),"")</f>
        <v/>
      </c>
      <c r="CU58" s="231" t="str">
        <f>IF(CD58&lt;&gt;"",SUMPRODUCT((CO55:CO59=CO58)*(CJ55:CJ59=CJ58)*(CH55:CH59=CH58)*(CL55:CL59=CL58)*(CM55:CM59=CM58)*(CN55:CN59&gt;CN58)),"")</f>
        <v/>
      </c>
      <c r="CV58" s="231" t="str">
        <f>IF(CD58&lt;&gt;"",SUM(CP58:CU58)+3,"")</f>
        <v/>
      </c>
      <c r="CW58" s="231" t="str">
        <f>IF(CD58&lt;&gt;"",IF(CV58=4,CD58,CD59),"")</f>
        <v/>
      </c>
      <c r="CX58" s="231" t="str">
        <f>IF(CW58&lt;&gt;"",CW58,IF(CC58&lt;&gt;"",CC58,IF(BI58&lt;&gt;"",BI58,IF(AO58&lt;&gt;"",AO58,O58))))</f>
        <v>Iraq</v>
      </c>
      <c r="CY58" s="231">
        <v>4</v>
      </c>
      <c r="DA58" s="234" t="str">
        <f>Matches!H59</f>
        <v>Ecuador</v>
      </c>
      <c r="DB58" s="234">
        <f>IF($DA$2&lt;&gt;"",IF(AND(Matches!J59&lt;&gt;"",Matches!K59&lt;&gt;""),Matches!J59,0),"")</f>
        <v>0</v>
      </c>
      <c r="DC58" s="234">
        <f>IF($DA$2&lt;&gt;"",IF(AND(Matches!J59&lt;&gt;"",Matches!K59&lt;&gt;""),Matches!K59,0),"")</f>
        <v>0</v>
      </c>
      <c r="DD58" s="234" t="str">
        <f>Matches!M59</f>
        <v>Germany</v>
      </c>
      <c r="DE58" s="234" t="str">
        <f>IF(AND(Matches!J59&lt;&gt;"",Matches!K59&lt;&gt;""),IF(DB58&gt;DC58,"W",IF(DB58=DC58,"D","L")),"")</f>
        <v/>
      </c>
      <c r="DF58" s="231" t="str">
        <f t="shared" si="106"/>
        <v/>
      </c>
      <c r="DS58" s="233" t="str">
        <f>Matches!H79</f>
        <v>Group F Winner</v>
      </c>
      <c r="DU58" s="233" t="str">
        <f>IF(ISERROR("Calculator!"&amp;VLOOKUP(DS58,Calculator!$DS$7:$DT$54,2,FALSE)),"Calculator!dr77","Calculator!"&amp;VLOOKUP(DS58,Calculator!$DS$7:$DT$54,2,FALSE))</f>
        <v>Calculator!dr77</v>
      </c>
      <c r="DX58" s="230"/>
      <c r="DY58" s="243">
        <v>52</v>
      </c>
      <c r="DZ58" s="244">
        <f t="shared" si="14"/>
        <v>46197.625</v>
      </c>
      <c r="EA58" s="247">
        <v>46197.625</v>
      </c>
      <c r="EB58" s="246">
        <f t="shared" si="75"/>
        <v>46197.625</v>
      </c>
      <c r="EC58" s="247"/>
    </row>
    <row r="59" spans="1:135" x14ac:dyDescent="0.25">
      <c r="DA59" s="234" t="str">
        <f>Matches!H60</f>
        <v>Japan</v>
      </c>
      <c r="DB59" s="234">
        <f>IF($DA$2&lt;&gt;"",IF(AND(Matches!J60&lt;&gt;"",Matches!K60&lt;&gt;""),Matches!J60,0),"")</f>
        <v>0</v>
      </c>
      <c r="DC59" s="234">
        <f>IF($DA$2&lt;&gt;"",IF(AND(Matches!J60&lt;&gt;"",Matches!K60&lt;&gt;""),Matches!K60,0),"")</f>
        <v>0</v>
      </c>
      <c r="DD59" s="234" t="str">
        <f>Matches!M60</f>
        <v>Sweden</v>
      </c>
      <c r="DE59" s="234" t="str">
        <f>IF(AND(Matches!J60&lt;&gt;"",Matches!K60&lt;&gt;""),IF(DB59&gt;DC59,"W",IF(DB59=DC59,"D","L")),"")</f>
        <v/>
      </c>
      <c r="DF59" s="231" t="str">
        <f t="shared" si="106"/>
        <v/>
      </c>
      <c r="DS59" s="233" t="str">
        <f>Matches!H80</f>
        <v>Group C Winner</v>
      </c>
      <c r="DU59" s="233" t="str">
        <f>IF(ISERROR("Calculator!"&amp;VLOOKUP(DS59,Calculator!$DS$7:$DT$54,2,FALSE)),"Calculator!dr77","Calculator!"&amp;VLOOKUP(DS59,Calculator!$DS$7:$DT$54,2,FALSE))</f>
        <v>Calculator!dr77</v>
      </c>
      <c r="DX59" s="230"/>
      <c r="DY59" s="243">
        <v>53</v>
      </c>
      <c r="DZ59" s="244">
        <f t="shared" si="14"/>
        <v>46197.875</v>
      </c>
      <c r="EA59" s="247">
        <v>46197.875</v>
      </c>
      <c r="EB59" s="246">
        <f t="shared" si="75"/>
        <v>46197.875</v>
      </c>
      <c r="EC59" s="247"/>
    </row>
    <row r="60" spans="1:135" x14ac:dyDescent="0.25">
      <c r="DA60" s="234" t="str">
        <f>Matches!H61</f>
        <v>Tunisia</v>
      </c>
      <c r="DB60" s="234">
        <f>IF($DA$2&lt;&gt;"",IF(AND(Matches!J61&lt;&gt;"",Matches!K61&lt;&gt;""),Matches!J61,0),"")</f>
        <v>0</v>
      </c>
      <c r="DC60" s="234">
        <f>IF($DA$2&lt;&gt;"",IF(AND(Matches!J61&lt;&gt;"",Matches!K61&lt;&gt;""),Matches!K61,0),"")</f>
        <v>0</v>
      </c>
      <c r="DD60" s="234" t="str">
        <f>Matches!M61</f>
        <v>Netherlands</v>
      </c>
      <c r="DE60" s="234" t="str">
        <f>IF(AND(Matches!J61&lt;&gt;"",Matches!K61&lt;&gt;""),IF(DB60&gt;DC60,"W",IF(DB60=DC60,"D","L")),"")</f>
        <v/>
      </c>
      <c r="DF60" s="231" t="str">
        <f t="shared" si="106"/>
        <v/>
      </c>
      <c r="DS60" s="233" t="str">
        <f>Matches!H81</f>
        <v>Group I Winner</v>
      </c>
      <c r="DU60" s="233" t="str">
        <f>IF(ISERROR("Calculator!"&amp;VLOOKUP(DS60,Calculator!$DS$7:$DT$54,2,FALSE)),"Calculator!dr77","Calculator!"&amp;VLOOKUP(DS60,Calculator!$DS$7:$DT$54,2,FALSE))</f>
        <v>Calculator!dr77</v>
      </c>
      <c r="DX60" s="230"/>
      <c r="DY60" s="243">
        <v>54</v>
      </c>
      <c r="DZ60" s="244">
        <f t="shared" si="14"/>
        <v>46197.875</v>
      </c>
      <c r="EA60" s="247">
        <v>46197.875</v>
      </c>
      <c r="EB60" s="246">
        <f t="shared" si="75"/>
        <v>46197.875</v>
      </c>
      <c r="EC60" s="247"/>
    </row>
    <row r="61" spans="1:135" x14ac:dyDescent="0.25">
      <c r="A61" s="230">
        <f>Setup!F44+100</f>
        <v>102</v>
      </c>
      <c r="B61" s="231">
        <f>VLOOKUP(C61,CX$61:CY$64,2,FALSE)</f>
        <v>1</v>
      </c>
      <c r="C61" s="232" t="str">
        <f>EE43</f>
        <v>Argentina</v>
      </c>
      <c r="D61" s="231">
        <f>SUMPRODUCT((DA$3:DA$105=C61)*(DE$3:DE$105="W"))+SUMPRODUCT((DD$3:DD$105=C61)*(DF$3:DF$105="W"))</f>
        <v>0</v>
      </c>
      <c r="E61" s="231">
        <f>SUMPRODUCT((DA$3:DA$105=C61)*(DE$3:DE$105="D"))+SUMPRODUCT((DD$3:DD$105=C61)*(DF$3:DF$105="D"))</f>
        <v>0</v>
      </c>
      <c r="F61" s="231">
        <f>SUMPRODUCT((DA$3:DA$105=C61)*(DE$3:DE$105="L"))+SUMPRODUCT((DD$3:DD$105=C61)*(DF$3:DF$105="L"))</f>
        <v>0</v>
      </c>
      <c r="G61" s="231">
        <f>SUMIF(DA$3:DA$123,C61,DB$3:DB$123)+SUMIF(DD$3:DD$123,C61,DC$3:DC$123)</f>
        <v>0</v>
      </c>
      <c r="H61" s="231">
        <f>SUMIF(DD$3:DD$123,C61,DB$3:DB$123)+SUMIF(DA$3:DA$123,C61,DC$3:DC$123)</f>
        <v>0</v>
      </c>
      <c r="I61" s="231">
        <f t="shared" ref="I61:I64" si="129">G61-H61+1000</f>
        <v>1000</v>
      </c>
      <c r="J61" s="231">
        <f t="shared" ref="J61:J64" si="130">D61*3+E61*1</f>
        <v>0</v>
      </c>
      <c r="K61" s="231">
        <f>IF(Setup!G44&lt;&gt;"",Setup!G44,-A61)</f>
        <v>-102</v>
      </c>
      <c r="L61" s="231">
        <f>IF(COUNTIF(J$61:J$64,4)&lt;&gt;4,RANK(J61,J$61:J$64),J140)</f>
        <v>1</v>
      </c>
      <c r="N61" s="231">
        <f>SUMPRODUCT((L$61:L$64=L61)*(K$61:K$64&lt;K61))+L61</f>
        <v>4</v>
      </c>
      <c r="O61" s="232" t="str">
        <f>INDEX(C$61:C$64,MATCH(1,N$61:N$64,0),0)</f>
        <v>Jordan</v>
      </c>
      <c r="P61" s="231">
        <f>INDEX(L$61:L$64,MATCH(O61,C$61:C$64,0),0)</f>
        <v>1</v>
      </c>
      <c r="Q61" s="231" t="str">
        <f>IF(P62=1,O61,"")</f>
        <v>Jordan</v>
      </c>
      <c r="R61" s="231" t="str">
        <f>IF(P63=2,O62,"")</f>
        <v/>
      </c>
      <c r="S61" s="231" t="str">
        <f>IF(P64=3,O63,"")</f>
        <v/>
      </c>
      <c r="T61" s="231" t="str">
        <f>IF(P65=4,O64,"")</f>
        <v/>
      </c>
      <c r="V61" s="231" t="str">
        <f>IF(Q61&lt;&gt;"",Q61,"")</f>
        <v>Jordan</v>
      </c>
      <c r="W61" s="231">
        <f>SUMPRODUCT((DA$3:DA$105=V61)*(DD$3:DD$105=V62)*(DE$3:DE$105="W"))+SUMPRODUCT((DA$3:DA$105=V61)*(DD$3:DD$105=V63)*(DE$3:DE$105="W"))+SUMPRODUCT((DA$3:DA$105=V61)*(DD$3:DD$105=V64)*(DE$3:DE$105="W"))+SUMPRODUCT((DA$3:DA$105=V61)*(DD$3:DD$105=V65)*(DE$3:DE$105="W"))+SUMPRODUCT((DA$3:DA$105=V62)*(DD$3:DD$105=V61)*(DF$3:DF$105="W"))+SUMPRODUCT((DA$3:DA$105=V63)*(DD$3:DD$105=V61)*(DF$3:DF$105="W"))+SUMPRODUCT((DA$3:DA$105=V64)*(DD$3:DD$105=V61)*(DF$3:DF$105="W"))+SUMPRODUCT((DA$3:DA$105=V65)*(DD$3:DD$105=V61)*(DF$3:DF$105="W"))</f>
        <v>0</v>
      </c>
      <c r="X61" s="231">
        <f>SUMPRODUCT((DA$3:DA$105=V61)*(DD$3:DD$105=V62)*(DE$3:DE$105="D"))+SUMPRODUCT((DA$3:DA$105=V61)*(DD$3:DD$105=V63)*(DE$3:DE$105="D"))+SUMPRODUCT((DA$3:DA$105=V61)*(DD$3:DD$105=V64)*(DE$3:DE$105="D"))+SUMPRODUCT((DA$3:DA$105=V61)*(DD$3:DD$105=V65)*(DE$3:DE$105="D"))+SUMPRODUCT((DA$3:DA$105=V62)*(DD$3:DD$105=V61)*(DE$3:DE$105="D"))+SUMPRODUCT((DA$3:DA$105=V63)*(DD$3:DD$105=V61)*(DE$3:DE$105="D"))+SUMPRODUCT((DA$3:DA$105=V64)*(DD$3:DD$105=V61)*(DE$3:DE$105="D"))+SUMPRODUCT((DA$3:DA$105=V65)*(DD$3:DD$105=V61)*(DE$3:DE$105="D"))</f>
        <v>0</v>
      </c>
      <c r="Y61" s="231">
        <f>SUMPRODUCT((DA$3:DA$105=V61)*(DD$3:DD$105=V62)*(DE$3:DE$105="L"))+SUMPRODUCT((DA$3:DA$105=V61)*(DD$3:DD$105=V63)*(DE$3:DE$105="L"))+SUMPRODUCT((DA$3:DA$105=V61)*(DD$3:DD$105=V64)*(DE$3:DE$105="L"))+SUMPRODUCT((DA$3:DA$105=V61)*(DD$3:DD$105=V65)*(DE$3:DE$105="L"))+SUMPRODUCT((DA$3:DA$105=V62)*(DD$3:DD$105=V61)*(DF$3:DF$105="L"))+SUMPRODUCT((DA$3:DA$105=V63)*(DD$3:DD$105=V61)*(DF$3:DF$105="L"))+SUMPRODUCT((DA$3:DA$105=V64)*(DD$3:DD$105=V61)*(DF$3:DF$105="L"))+SUMPRODUCT((DA$3:DA$105=V65)*(DD$3:DD$105=V61)*(DF$3:DF$105="L"))</f>
        <v>0</v>
      </c>
      <c r="Z61" s="231">
        <f>SUMPRODUCT((DA$3:DA$105=V61)*(DD$3:DD$105=V62)*DB$3:DB$105)+SUMPRODUCT((DA$3:DA$105=V61)*(DD$3:DD$105=V63)*DB$3:DB$105)+SUMPRODUCT((DA$3:DA$105=V61)*(DD$3:DD$105=V64)*DB$3:DB$105)+SUMPRODUCT((DA$3:DA$105=V61)*(DD$3:DD$105=V65)*DB$3:DB$105)+SUMPRODUCT((DA$3:DA$105=V62)*(DD$3:DD$105=V61)*DC$3:DC$105)+SUMPRODUCT((DA$3:DA$105=V63)*(DD$3:DD$105=V61)*DC$3:DC$105)+SUMPRODUCT((DA$3:DA$105=V64)*(DD$3:DD$105=V61)*DC$3:DC$105)+SUMPRODUCT((DA$3:DA$105=V65)*(DD$3:DD$105=V61)*DC$3:DC$105)</f>
        <v>0</v>
      </c>
      <c r="AA61" s="231">
        <f>SUMPRODUCT((DA$3:DA$105=V61)*(DD$3:DD$105=V62)*DC$3:DC$105)+SUMPRODUCT((DA$3:DA$105=V61)*(DD$3:DD$105=V63)*DC$3:DC$105)+SUMPRODUCT((DA$3:DA$105=V61)*(DD$3:DD$105=V64)*DC$3:DC$105)+SUMPRODUCT((DA$3:DA$105=V61)*(DD$3:DD$105=V65)*DC$3:DC$105)+SUMPRODUCT((DA$3:DA$105=V62)*(DD$3:DD$105=V61)*DB$3:DB$105)+SUMPRODUCT((DA$3:DA$105=V63)*(DD$3:DD$105=V61)*DB$3:DB$105)+SUMPRODUCT((DA$3:DA$105=V64)*(DD$3:DD$105=V61)*DB$3:DB$105)+SUMPRODUCT((DA$3:DA$105=V65)*(DD$3:DD$105=V61)*DB$3:DB$105)</f>
        <v>0</v>
      </c>
      <c r="AB61" s="231">
        <f>Z61-AA61+1000</f>
        <v>1000</v>
      </c>
      <c r="AC61" s="231">
        <f t="shared" ref="AC61:AC64" si="131">IF(V61&lt;&gt;"",W61*3+X61*1,"")</f>
        <v>0</v>
      </c>
      <c r="AD61" s="231">
        <f>IF(V61&lt;&gt;"",VLOOKUP(V61,C$4:I$64,7,FALSE),"")</f>
        <v>1000</v>
      </c>
      <c r="AE61" s="231">
        <f>IF(V61&lt;&gt;"",VLOOKUP(V61,C$4:I$64,5,FALSE),"")</f>
        <v>0</v>
      </c>
      <c r="AF61" s="231">
        <f>IF(V61&lt;&gt;"",VLOOKUP(V61,C$4:K$64,9,FALSE),"")</f>
        <v>-164</v>
      </c>
      <c r="AG61" s="231">
        <f t="shared" ref="AG61:AG64" si="132">AC61</f>
        <v>0</v>
      </c>
      <c r="AH61" s="231">
        <f>IF(V61&lt;&gt;"",RANK(AG61,AG$61:AG$64),"")</f>
        <v>1</v>
      </c>
      <c r="AI61" s="231">
        <f>IF(V61&lt;&gt;"",SUMPRODUCT((AG$61:AG$64=AG61)*(AB$61:AB$64&gt;AB61)),"")</f>
        <v>0</v>
      </c>
      <c r="AJ61" s="231">
        <f>IF(V61&lt;&gt;"",SUMPRODUCT((AG$61:AG$64=AG61)*(AB$61:AB$64=AB61)*(Z$61:Z$64&gt;Z61)),"")</f>
        <v>0</v>
      </c>
      <c r="AK61" s="231">
        <f>IF(V61&lt;&gt;"",SUMPRODUCT((AG$61:AG$64=AG61)*(AB$61:AB$64=AB61)*(Z$61:Z$64=Z61)*(AD$61:AD$64&gt;AD61)),"")</f>
        <v>0</v>
      </c>
      <c r="AL61" s="231">
        <f>IF(V61&lt;&gt;"",SUMPRODUCT((AG$61:AG$64=AG61)*(AB$61:AB$64=AB61)*(Z$61:Z$64=Z61)*(AD$61:AD$64=AD61)*(AE$61:AE$64&gt;AE61)),"")</f>
        <v>0</v>
      </c>
      <c r="AM61" s="231">
        <f>IF(V61&lt;&gt;"",SUMPRODUCT((AG$61:AG$64=AG61)*(AB$61:AB$64=AB61)*(Z$61:Z$64=Z61)*(AD$61:AD$64=AD61)*(AE$61:AE$64=AE61)*(AF$61:AF$64&gt;AF61)),"")</f>
        <v>3</v>
      </c>
      <c r="AN61" s="231">
        <f>IF(V61&lt;&gt;"",IF(AN140&lt;&gt;"",IF(U139=3,AN140,AN140+U139),SUM(AH61:AM61)),"")</f>
        <v>4</v>
      </c>
      <c r="AO61" s="231" t="str">
        <f>IF(V61&lt;&gt;"",INDEX(V$61:V$64,MATCH(1,AN$61:AN$64,0),0),"")</f>
        <v>Argentina</v>
      </c>
      <c r="CX61" s="231" t="str">
        <f>IF(AO61&lt;&gt;"",AO61,O61)</f>
        <v>Argentina</v>
      </c>
      <c r="CY61" s="231">
        <v>1</v>
      </c>
      <c r="DA61" s="234" t="str">
        <f>Matches!H62</f>
        <v>Türkiye</v>
      </c>
      <c r="DB61" s="234">
        <f>IF($DA$2&lt;&gt;"",IF(AND(Matches!J62&lt;&gt;"",Matches!K62&lt;&gt;""),Matches!J62,0),"")</f>
        <v>0</v>
      </c>
      <c r="DC61" s="234">
        <f>IF($DA$2&lt;&gt;"",IF(AND(Matches!J62&lt;&gt;"",Matches!K62&lt;&gt;""),Matches!K62,0),"")</f>
        <v>0</v>
      </c>
      <c r="DD61" s="234" t="str">
        <f>Matches!M62</f>
        <v>USA</v>
      </c>
      <c r="DE61" s="234" t="str">
        <f>IF(AND(Matches!J62&lt;&gt;"",Matches!K62&lt;&gt;""),IF(DB61&gt;DC61,"W",IF(DB61=DC61,"D","L")),"")</f>
        <v/>
      </c>
      <c r="DF61" s="231" t="str">
        <f t="shared" si="106"/>
        <v/>
      </c>
      <c r="DS61" s="233" t="str">
        <f>Matches!H82</f>
        <v>Group E Runner Up</v>
      </c>
      <c r="DU61" s="233" t="str">
        <f>IF(ISERROR("Calculator!"&amp;VLOOKUP(DS61,Calculator!$DS$7:$DT$54,2,FALSE)),"Calculator!dr77","Calculator!"&amp;VLOOKUP(DS61,Calculator!$DS$7:$DT$54,2,FALSE))</f>
        <v>Calculator!dr77</v>
      </c>
      <c r="DX61" s="230"/>
      <c r="DY61" s="243">
        <v>55</v>
      </c>
      <c r="DZ61" s="244">
        <f t="shared" si="14"/>
        <v>46198.666666666664</v>
      </c>
      <c r="EA61" s="247">
        <v>46198.666666666664</v>
      </c>
      <c r="EB61" s="246">
        <f t="shared" si="75"/>
        <v>46198.666666666664</v>
      </c>
      <c r="EC61" s="247"/>
    </row>
    <row r="62" spans="1:135" x14ac:dyDescent="0.25">
      <c r="A62" s="230">
        <f>Setup!F45+100</f>
        <v>128</v>
      </c>
      <c r="B62" s="231">
        <f>VLOOKUP(C62,CX$61:CY$64,2,FALSE)</f>
        <v>3</v>
      </c>
      <c r="C62" s="232" t="str">
        <f t="shared" ref="C62:C64" si="133">EE44</f>
        <v>Algeria</v>
      </c>
      <c r="D62" s="231">
        <f>SUMPRODUCT((DA$3:DA$105=C62)*(DE$3:DE$105="W"))+SUMPRODUCT((DD$3:DD$105=C62)*(DF$3:DF$105="W"))</f>
        <v>0</v>
      </c>
      <c r="E62" s="231">
        <f>SUMPRODUCT((DA$3:DA$105=C62)*(DE$3:DE$105="D"))+SUMPRODUCT((DD$3:DD$105=C62)*(DF$3:DF$105="D"))</f>
        <v>0</v>
      </c>
      <c r="F62" s="231">
        <f>SUMPRODUCT((DA$3:DA$105=C62)*(DE$3:DE$105="L"))+SUMPRODUCT((DD$3:DD$105=C62)*(DF$3:DF$105="L"))</f>
        <v>0</v>
      </c>
      <c r="G62" s="231">
        <f>SUMIF(DA$3:DA$123,C62,DB$3:DB$123)+SUMIF(DD$3:DD$123,C62,DC$3:DC$123)</f>
        <v>0</v>
      </c>
      <c r="H62" s="231">
        <f>SUMIF(DD$3:DD$123,C62,DB$3:DB$123)+SUMIF(DA$3:DA$123,C62,DC$3:DC$123)</f>
        <v>0</v>
      </c>
      <c r="I62" s="231">
        <f t="shared" si="129"/>
        <v>1000</v>
      </c>
      <c r="J62" s="231">
        <f t="shared" si="130"/>
        <v>0</v>
      </c>
      <c r="K62" s="231">
        <f>IF(Setup!G45&lt;&gt;"",Setup!G45,-A62)</f>
        <v>-128</v>
      </c>
      <c r="L62" s="231">
        <f>IF(COUNTIF(J$61:J$64,4)&lt;&gt;4,RANK(J62,J$61:J$64),J141)</f>
        <v>1</v>
      </c>
      <c r="N62" s="231">
        <f>SUMPRODUCT((L$61:L$64=L62)*(K$61:K$64&lt;K62))+L62</f>
        <v>2</v>
      </c>
      <c r="O62" s="232" t="str">
        <f>INDEX(C$61:C$64,MATCH(2,N$61:N$64,0),0)</f>
        <v>Algeria</v>
      </c>
      <c r="P62" s="231">
        <f>INDEX(L$61:L$64,MATCH(O62,C$61:C$64,0),0)</f>
        <v>1</v>
      </c>
      <c r="Q62" s="231" t="str">
        <f>IF(Q61&lt;&gt;"",O62,"")</f>
        <v>Algeria</v>
      </c>
      <c r="R62" s="231" t="str">
        <f>IF(R61&lt;&gt;"",O63,"")</f>
        <v/>
      </c>
      <c r="S62" s="231" t="str">
        <f>IF(S61&lt;&gt;"",O64,"")</f>
        <v/>
      </c>
      <c r="T62" s="231" t="str">
        <f>IF(T61&lt;&gt;"",O65,"")</f>
        <v/>
      </c>
      <c r="V62" s="231" t="str">
        <f t="shared" ref="V62:V64" si="134">IF(Q62&lt;&gt;"",Q62,"")</f>
        <v>Algeria</v>
      </c>
      <c r="W62" s="231">
        <f>SUMPRODUCT((DA$3:DA$105=V62)*(DD$3:DD$105=V63)*(DE$3:DE$105="W"))+SUMPRODUCT((DA$3:DA$105=V62)*(DD$3:DD$105=V64)*(DE$3:DE$105="W"))+SUMPRODUCT((DA$3:DA$105=V62)*(DD$3:DD$105=V65)*(DE$3:DE$105="W"))+SUMPRODUCT((DA$3:DA$105=V62)*(DD$3:DD$105=V61)*(DE$3:DE$105="W"))+SUMPRODUCT((DA$3:DA$105=V63)*(DD$3:DD$105=V62)*(DF$3:DF$105="W"))+SUMPRODUCT((DA$3:DA$105=V64)*(DD$3:DD$105=V62)*(DF$3:DF$105="W"))+SUMPRODUCT((DA$3:DA$105=V65)*(DD$3:DD$105=V62)*(DF$3:DF$105="W"))+SUMPRODUCT((DA$3:DA$105=V61)*(DD$3:DD$105=V62)*(DF$3:DF$105="W"))</f>
        <v>0</v>
      </c>
      <c r="X62" s="231">
        <f>SUMPRODUCT((DA$3:DA$105=V62)*(DD$3:DD$105=V63)*(DE$3:DE$105="D"))+SUMPRODUCT((DA$3:DA$105=V62)*(DD$3:DD$105=V64)*(DE$3:DE$105="D"))+SUMPRODUCT((DA$3:DA$105=V62)*(DD$3:DD$105=V65)*(DE$3:DE$105="D"))+SUMPRODUCT((DA$3:DA$105=V62)*(DD$3:DD$105=V61)*(DE$3:DE$105="D"))+SUMPRODUCT((DA$3:DA$105=V63)*(DD$3:DD$105=V62)*(DE$3:DE$105="D"))+SUMPRODUCT((DA$3:DA$105=V64)*(DD$3:DD$105=V62)*(DE$3:DE$105="D"))+SUMPRODUCT((DA$3:DA$105=V65)*(DD$3:DD$105=V62)*(DE$3:DE$105="D"))+SUMPRODUCT((DA$3:DA$105=V61)*(DD$3:DD$105=V62)*(DE$3:DE$105="D"))</f>
        <v>0</v>
      </c>
      <c r="Y62" s="231">
        <f>SUMPRODUCT((DA$3:DA$105=V62)*(DD$3:DD$105=V63)*(DE$3:DE$105="L"))+SUMPRODUCT((DA$3:DA$105=V62)*(DD$3:DD$105=V64)*(DE$3:DE$105="L"))+SUMPRODUCT((DA$3:DA$105=V62)*(DD$3:DD$105=V65)*(DE$3:DE$105="L"))+SUMPRODUCT((DA$3:DA$105=V62)*(DD$3:DD$105=V61)*(DE$3:DE$105="L"))+SUMPRODUCT((DA$3:DA$105=V63)*(DD$3:DD$105=V62)*(DF$3:DF$105="L"))+SUMPRODUCT((DA$3:DA$105=V64)*(DD$3:DD$105=V62)*(DF$3:DF$105="L"))+SUMPRODUCT((DA$3:DA$105=V65)*(DD$3:DD$105=V62)*(DF$3:DF$105="L"))+SUMPRODUCT((DA$3:DA$105=V61)*(DD$3:DD$105=V62)*(DF$3:DF$105="L"))</f>
        <v>0</v>
      </c>
      <c r="Z62" s="231">
        <f>SUMPRODUCT((DA$3:DA$105=V62)*(DD$3:DD$105=V63)*DB$3:DB$105)+SUMPRODUCT((DA$3:DA$105=V62)*(DD$3:DD$105=V64)*DB$3:DB$105)+SUMPRODUCT((DA$3:DA$105=V62)*(DD$3:DD$105=V65)*DB$3:DB$105)+SUMPRODUCT((DA$3:DA$105=V62)*(DD$3:DD$105=V61)*DB$3:DB$105)+SUMPRODUCT((DA$3:DA$105=V63)*(DD$3:DD$105=V62)*DC$3:DC$105)+SUMPRODUCT((DA$3:DA$105=V64)*(DD$3:DD$105=V62)*DC$3:DC$105)+SUMPRODUCT((DA$3:DA$105=V65)*(DD$3:DD$105=V62)*DC$3:DC$105)+SUMPRODUCT((DA$3:DA$105=V61)*(DD$3:DD$105=V62)*DC$3:DC$105)</f>
        <v>0</v>
      </c>
      <c r="AA62" s="231">
        <f>SUMPRODUCT((DA$3:DA$105=V62)*(DD$3:DD$105=V63)*DC$3:DC$105)+SUMPRODUCT((DA$3:DA$105=V62)*(DD$3:DD$105=V64)*DC$3:DC$105)+SUMPRODUCT((DA$3:DA$105=V62)*(DD$3:DD$105=V65)*DC$3:DC$105)+SUMPRODUCT((DA$3:DA$105=V62)*(DD$3:DD$105=V61)*DC$3:DC$105)+SUMPRODUCT((DA$3:DA$105=V63)*(DD$3:DD$105=V62)*DB$3:DB$105)+SUMPRODUCT((DA$3:DA$105=V64)*(DD$3:DD$105=V62)*DB$3:DB$105)+SUMPRODUCT((DA$3:DA$105=V65)*(DD$3:DD$105=V62)*DB$3:DB$105)+SUMPRODUCT((DA$3:DA$105=V61)*(DD$3:DD$105=V62)*DB$3:DB$105)</f>
        <v>0</v>
      </c>
      <c r="AB62" s="231">
        <f>Z62-AA62+1000</f>
        <v>1000</v>
      </c>
      <c r="AC62" s="231">
        <f t="shared" si="131"/>
        <v>0</v>
      </c>
      <c r="AD62" s="231">
        <f>IF(V62&lt;&gt;"",VLOOKUP(V62,C$4:I$64,7,FALSE),"")</f>
        <v>1000</v>
      </c>
      <c r="AE62" s="231">
        <f>IF(V62&lt;&gt;"",VLOOKUP(V62,C$4:I$64,5,FALSE),"")</f>
        <v>0</v>
      </c>
      <c r="AF62" s="231">
        <f>IF(V62&lt;&gt;"",VLOOKUP(V62,C$4:K$64,9,FALSE),"")</f>
        <v>-128</v>
      </c>
      <c r="AG62" s="231">
        <f t="shared" si="132"/>
        <v>0</v>
      </c>
      <c r="AH62" s="231">
        <f>IF(V62&lt;&gt;"",RANK(AG62,AG$61:AG$64),"")</f>
        <v>1</v>
      </c>
      <c r="AI62" s="231">
        <f>IF(V62&lt;&gt;"",SUMPRODUCT((AG$61:AG$64=AG62)*(AB$61:AB$64&gt;AB62)),"")</f>
        <v>0</v>
      </c>
      <c r="AJ62" s="231">
        <f>IF(V62&lt;&gt;"",SUMPRODUCT((AG$61:AG$64=AG62)*(AB$61:AB$64=AB62)*(Z$61:Z$64&gt;Z62)),"")</f>
        <v>0</v>
      </c>
      <c r="AK62" s="231">
        <f>IF(V62&lt;&gt;"",SUMPRODUCT((AG$61:AG$64=AG62)*(AB$61:AB$64=AB62)*(Z$61:Z$64=Z62)*(AD$61:AD$64&gt;AD62)),"")</f>
        <v>0</v>
      </c>
      <c r="AL62" s="231">
        <f>IF(V62&lt;&gt;"",SUMPRODUCT((AG$61:AG$64=AG62)*(AB$61:AB$64=AB62)*(Z$61:Z$64=Z62)*(AD$61:AD$64=AD62)*(AE$61:AE$64&gt;AE62)),"")</f>
        <v>0</v>
      </c>
      <c r="AM62" s="231">
        <f>IF(V62&lt;&gt;"",SUMPRODUCT((AG$61:AG$64=AG62)*(AB$61:AB$64=AB62)*(Z$61:Z$64=Z62)*(AD$61:AD$64=AD62)*(AE$61:AE$64=AE62)*(AF$61:AF$64&gt;AF62)),"")</f>
        <v>2</v>
      </c>
      <c r="AN62" s="231">
        <f>IF(V62&lt;&gt;"",IF(AN141&lt;&gt;"",IF(U139=3,AN141,AN141+U139),SUM(AH62:AM62)),"")</f>
        <v>3</v>
      </c>
      <c r="AO62" s="231" t="str">
        <f>IF(V62&lt;&gt;"",INDEX(V$61:V$64,MATCH(2,AN$61:AN$64,0),0),"")</f>
        <v>Austria</v>
      </c>
      <c r="AP62" s="231" t="str">
        <f>IF(R61&lt;&gt;"",R61,"")</f>
        <v/>
      </c>
      <c r="AQ62" s="231">
        <f>SUMPRODUCT((DA$3:DA$105=AP62)*(DD$3:DD$105=AP63)*(DE$3:DE$105="W"))+SUMPRODUCT((DA$3:DA$105=AP62)*(DD$3:DD$105=AP64)*(DE$3:DE$105="W"))+SUMPRODUCT((DA$3:DA$105=AP62)*(DD$3:DD$105=AP65)*(DE$3:DE$105="W"))+SUMPRODUCT((DA$3:DA$105=AP63)*(DD$3:DD$105=AP62)*(DF$3:DF$105="W"))+SUMPRODUCT((DA$3:DA$105=AP64)*(DD$3:DD$105=AP62)*(DF$3:DF$105="W"))+SUMPRODUCT((DA$3:DA$105=AP65)*(DD$3:DD$105=AP62)*(DF$3:DF$105="W"))</f>
        <v>0</v>
      </c>
      <c r="AR62" s="231">
        <f>SUMPRODUCT((DA$3:DA$105=AP62)*(DD$3:DD$105=AP63)*(DE$3:DE$105="D"))+SUMPRODUCT((DA$3:DA$105=AP62)*(DD$3:DD$105=AP64)*(DE$3:DE$105="D"))+SUMPRODUCT((DA$3:DA$105=AP62)*(DD$3:DD$105=AP65)*(DE$3:DE$105="D"))+SUMPRODUCT((DA$3:DA$105=AP63)*(DD$3:DD$105=AP62)*(DE$3:DE$105="D"))+SUMPRODUCT((DA$3:DA$105=AP64)*(DD$3:DD$105=AP62)*(DE$3:DE$105="D"))+SUMPRODUCT((DA$3:DA$105=AP65)*(DD$3:DD$105=AP62)*(DE$3:DE$105="D"))</f>
        <v>0</v>
      </c>
      <c r="AS62" s="231">
        <f>SUMPRODUCT((DA$3:DA$105=AP62)*(DD$3:DD$105=AP63)*(DE$3:DE$105="L"))+SUMPRODUCT((DA$3:DA$105=AP62)*(DD$3:DD$105=AP64)*(DE$3:DE$105="L"))+SUMPRODUCT((DA$3:DA$105=AP62)*(DD$3:DD$105=AP65)*(DE$3:DE$105="L"))+SUMPRODUCT((DA$3:DA$105=AP63)*(DD$3:DD$105=AP62)*(DF$3:DF$105="L"))+SUMPRODUCT((DA$3:DA$105=AP64)*(DD$3:DD$105=AP62)*(DF$3:DF$105="L"))+SUMPRODUCT((DA$3:DA$105=AP65)*(DD$3:DD$105=AP62)*(DF$3:DF$105="L"))</f>
        <v>0</v>
      </c>
      <c r="AT62" s="231">
        <f>SUMPRODUCT((DA$3:DA$105=AP62)*(DD$3:DD$105=AP63)*DB$3:DB$105)+SUMPRODUCT((DA$3:DA$105=AP62)*(DD$3:DD$105=AP64)*DB$3:DB$105)+SUMPRODUCT((DA$3:DA$105=AP62)*(DD$3:DD$105=AP65)*DB$3:DB$105)+SUMPRODUCT((DA$3:DA$105=AP62)*(DD$3:DD$105=AP61)*DB$3:DB$105)+SUMPRODUCT((DA$3:DA$105=AP63)*(DD$3:DD$105=AP62)*DC$3:DC$105)+SUMPRODUCT((DA$3:DA$105=AP64)*(DD$3:DD$105=AP62)*DC$3:DC$105)+SUMPRODUCT((DA$3:DA$105=AP65)*(DD$3:DD$105=AP62)*DC$3:DC$105)+SUMPRODUCT((DA$3:DA$105=AP61)*(DD$3:DD$105=AP62)*DC$3:DC$105)</f>
        <v>0</v>
      </c>
      <c r="AU62" s="231">
        <f>SUMPRODUCT((DA$3:DA$105=AP62)*(DD$3:DD$105=AP63)*DC$3:DC$105)+SUMPRODUCT((DA$3:DA$105=AP62)*(DD$3:DD$105=AP64)*DC$3:DC$105)+SUMPRODUCT((DA$3:DA$105=AP62)*(DD$3:DD$105=AP65)*DC$3:DC$105)+SUMPRODUCT((DA$3:DA$105=AP62)*(DD$3:DD$105=AP61)*DC$3:DC$105)+SUMPRODUCT((DA$3:DA$105=AP63)*(DD$3:DD$105=AP62)*DB$3:DB$105)+SUMPRODUCT((DA$3:DA$105=AP64)*(DD$3:DD$105=AP62)*DB$3:DB$105)+SUMPRODUCT((DA$3:DA$105=AP65)*(DD$3:DD$105=AP62)*DB$3:DB$105)+SUMPRODUCT((DA$3:DA$105=AP61)*(DD$3:DD$105=AP62)*DB$3:DB$105)</f>
        <v>0</v>
      </c>
      <c r="AV62" s="231">
        <f>AT62-AU62+1000</f>
        <v>1000</v>
      </c>
      <c r="AW62" s="231" t="str">
        <f t="shared" ref="AW62:AW64" si="135">IF(AP62&lt;&gt;"",AQ62*3+AR62*1,"")</f>
        <v/>
      </c>
      <c r="AX62" s="231" t="str">
        <f>IF(AP62&lt;&gt;"",VLOOKUP(AP62,C$4:I$64,7,FALSE),"")</f>
        <v/>
      </c>
      <c r="AY62" s="231" t="str">
        <f>IF(AP62&lt;&gt;"",VLOOKUP(AP62,C$4:I$64,5,FALSE),"")</f>
        <v/>
      </c>
      <c r="AZ62" s="231" t="str">
        <f>IF(AP62&lt;&gt;"",VLOOKUP(AP62,C$4:K$64,9,FALSE),"")</f>
        <v/>
      </c>
      <c r="BA62" s="231" t="str">
        <f t="shared" ref="BA62:BA64" si="136">AW62</f>
        <v/>
      </c>
      <c r="BB62" s="231" t="str">
        <f>IF(AP62&lt;&gt;"",RANK(BA62,BA$61:BA$64),"")</f>
        <v/>
      </c>
      <c r="BC62" s="231" t="str">
        <f>IF(AP62&lt;&gt;"",SUMPRODUCT((BA$61:BA$64=BA62)*(AV$61:AV$64&gt;AV62)),"")</f>
        <v/>
      </c>
      <c r="BD62" s="231" t="str">
        <f>IF(AP62&lt;&gt;"",SUMPRODUCT((BA$61:BA$64=BA62)*(AV$61:AV$64=AV62)*(AT$61:AT$64&gt;AT62)),"")</f>
        <v/>
      </c>
      <c r="BE62" s="231" t="str">
        <f>IF(AP62&lt;&gt;"",SUMPRODUCT((BA$61:BA$64=BA62)*(AV$61:AV$64=AV62)*(AT$61:AT$64=AT62)*(AX$61:AX$64&gt;AX62)),"")</f>
        <v/>
      </c>
      <c r="BF62" s="231" t="str">
        <f>IF(AP62&lt;&gt;"",SUMPRODUCT((BA$61:BA$64=BA62)*(AV$61:AV$64=AV62)*(AT$61:AT$64=AT62)*(AX$61:AX$64=AX62)*(AY$61:AY$64&gt;AY62)),"")</f>
        <v/>
      </c>
      <c r="BG62" s="231" t="str">
        <f>IF(AP62&lt;&gt;"",SUMPRODUCT((BA$61:BA$64=BA62)*(AV$61:AV$64=AV62)*(AT$61:AT$64=AT62)*(AX$61:AX$64=AX62)*(AY$61:AY$64=AY62)*(AZ$61:AZ$64&gt;AZ62)),"")</f>
        <v/>
      </c>
      <c r="BH62" s="231" t="str">
        <f>IF(AP62&lt;&gt;"",IF(BH141&lt;&gt;"",IF(AO$139=3,BH141,BH141+AO139),SUM(BB62:BG62)+1),"")</f>
        <v/>
      </c>
      <c r="BI62" s="231" t="str">
        <f>IF(AP62&lt;&gt;"",INDEX(AP$62:AP$65,MATCH(2,BH$62:BH$65,0),0),"")</f>
        <v/>
      </c>
      <c r="CX62" s="231" t="str">
        <f>IF(BI62&lt;&gt;"",BI62,IF(AO62&lt;&gt;"",AO62,O62))</f>
        <v>Austria</v>
      </c>
      <c r="CY62" s="231">
        <v>2</v>
      </c>
      <c r="DA62" s="234" t="str">
        <f>Matches!H63</f>
        <v>Paraguay</v>
      </c>
      <c r="DB62" s="234">
        <f>IF($DA$2&lt;&gt;"",IF(AND(Matches!J63&lt;&gt;"",Matches!K63&lt;&gt;""),Matches!J63,0),"")</f>
        <v>0</v>
      </c>
      <c r="DC62" s="234">
        <f>IF($DA$2&lt;&gt;"",IF(AND(Matches!J63&lt;&gt;"",Matches!K63&lt;&gt;""),Matches!K63,0),"")</f>
        <v>0</v>
      </c>
      <c r="DD62" s="234" t="str">
        <f>Matches!M63</f>
        <v>Australia</v>
      </c>
      <c r="DE62" s="234" t="str">
        <f>IF(AND(Matches!J63&lt;&gt;"",Matches!K63&lt;&gt;""),IF(DB62&gt;DC62,"W",IF(DB62=DC62,"D","L")),"")</f>
        <v/>
      </c>
      <c r="DF62" s="231" t="str">
        <f t="shared" si="106"/>
        <v/>
      </c>
      <c r="DS62" s="233" t="str">
        <f>Matches!H83</f>
        <v>Group A Winner</v>
      </c>
      <c r="DU62" s="233" t="str">
        <f>IF(ISERROR("Calculator!"&amp;VLOOKUP(DS62,Calculator!$DS$7:$DT$54,2,FALSE)),"Calculator!dr77","Calculator!"&amp;VLOOKUP(DS62,Calculator!$DS$7:$DT$54,2,FALSE))</f>
        <v>Calculator!dr77</v>
      </c>
      <c r="DX62" s="230"/>
      <c r="DY62" s="243">
        <v>56</v>
      </c>
      <c r="DZ62" s="244">
        <f t="shared" si="14"/>
        <v>46198.666666666664</v>
      </c>
      <c r="EA62" s="247">
        <v>46198.666666666664</v>
      </c>
      <c r="EB62" s="246">
        <f t="shared" si="75"/>
        <v>46198.666666666664</v>
      </c>
      <c r="EC62" s="247"/>
    </row>
    <row r="63" spans="1:135" x14ac:dyDescent="0.25">
      <c r="A63" s="230">
        <f>Setup!F46+100</f>
        <v>124</v>
      </c>
      <c r="B63" s="231">
        <f>VLOOKUP(C63,CX$61:CY$64,2,FALSE)</f>
        <v>2</v>
      </c>
      <c r="C63" s="232" t="str">
        <f t="shared" si="133"/>
        <v>Austria</v>
      </c>
      <c r="D63" s="231">
        <f>SUMPRODUCT((DA$3:DA$105=C63)*(DE$3:DE$105="W"))+SUMPRODUCT((DD$3:DD$105=C63)*(DF$3:DF$105="W"))</f>
        <v>0</v>
      </c>
      <c r="E63" s="231">
        <f>SUMPRODUCT((DA$3:DA$105=C63)*(DE$3:DE$105="D"))+SUMPRODUCT((DD$3:DD$105=C63)*(DF$3:DF$105="D"))</f>
        <v>0</v>
      </c>
      <c r="F63" s="231">
        <f>SUMPRODUCT((DA$3:DA$105=C63)*(DE$3:DE$105="L"))+SUMPRODUCT((DD$3:DD$105=C63)*(DF$3:DF$105="L"))</f>
        <v>0</v>
      </c>
      <c r="G63" s="231">
        <f>SUMIF(DA$3:DA$123,C63,DB$3:DB$123)+SUMIF(DD$3:DD$123,C63,DC$3:DC$123)</f>
        <v>0</v>
      </c>
      <c r="H63" s="231">
        <f>SUMIF(DD$3:DD$123,C63,DB$3:DB$123)+SUMIF(DA$3:DA$123,C63,DC$3:DC$123)</f>
        <v>0</v>
      </c>
      <c r="I63" s="231">
        <f t="shared" si="129"/>
        <v>1000</v>
      </c>
      <c r="J63" s="231">
        <f t="shared" si="130"/>
        <v>0</v>
      </c>
      <c r="K63" s="231">
        <f>IF(Setup!G46&lt;&gt;"",Setup!G46,-A63)</f>
        <v>-124</v>
      </c>
      <c r="L63" s="231">
        <f>IF(COUNTIF(J$61:J$64,4)&lt;&gt;4,RANK(J63,J$61:J$64),J142)</f>
        <v>1</v>
      </c>
      <c r="N63" s="231">
        <f>SUMPRODUCT((L$61:L$64=L63)*(K$61:K$64&lt;K63))+L63</f>
        <v>3</v>
      </c>
      <c r="O63" s="232" t="str">
        <f>INDEX(C$61:C$64,MATCH(3,N$61:N$64,0),0)</f>
        <v>Austria</v>
      </c>
      <c r="P63" s="231">
        <f>INDEX(L$61:L$64,MATCH(O63,C$61:C$64,0),0)</f>
        <v>1</v>
      </c>
      <c r="Q63" s="231" t="str">
        <f>IF(AND(Q62&lt;&gt;"",P63=1),O63,"")</f>
        <v>Austria</v>
      </c>
      <c r="R63" s="231" t="str">
        <f>IF(AND(R62&lt;&gt;"",P64=2),O64,"")</f>
        <v/>
      </c>
      <c r="S63" s="231" t="str">
        <f>IF(AND(S62&lt;&gt;"",P65=3),O65,"")</f>
        <v/>
      </c>
      <c r="V63" s="231" t="str">
        <f t="shared" si="134"/>
        <v>Austria</v>
      </c>
      <c r="W63" s="231">
        <f>SUMPRODUCT((DA$3:DA$105=V63)*(DD$3:DD$105=V64)*(DE$3:DE$105="W"))+SUMPRODUCT((DA$3:DA$105=V63)*(DD$3:DD$105=V65)*(DE$3:DE$105="W"))+SUMPRODUCT((DA$3:DA$105=V63)*(DD$3:DD$105=V61)*(DE$3:DE$105="W"))+SUMPRODUCT((DA$3:DA$105=V63)*(DD$3:DD$105=V62)*(DE$3:DE$105="W"))+SUMPRODUCT((DA$3:DA$105=V64)*(DD$3:DD$105=V63)*(DF$3:DF$105="W"))+SUMPRODUCT((DA$3:DA$105=V65)*(DD$3:DD$105=V63)*(DF$3:DF$105="W"))+SUMPRODUCT((DA$3:DA$105=V61)*(DD$3:DD$105=V63)*(DF$3:DF$105="W"))+SUMPRODUCT((DA$3:DA$105=V62)*(DD$3:DD$105=V63)*(DF$3:DF$105="W"))</f>
        <v>0</v>
      </c>
      <c r="X63" s="231">
        <f>SUMPRODUCT((DA$3:DA$105=V63)*(DD$3:DD$105=V64)*(DE$3:DE$105="D"))+SUMPRODUCT((DA$3:DA$105=V63)*(DD$3:DD$105=V65)*(DE$3:DE$105="D"))+SUMPRODUCT((DA$3:DA$105=V63)*(DD$3:DD$105=V61)*(DE$3:DE$105="D"))+SUMPRODUCT((DA$3:DA$105=V63)*(DD$3:DD$105=V62)*(DE$3:DE$105="D"))+SUMPRODUCT((DA$3:DA$105=V64)*(DD$3:DD$105=V63)*(DE$3:DE$105="D"))+SUMPRODUCT((DA$3:DA$105=V65)*(DD$3:DD$105=V63)*(DE$3:DE$105="D"))+SUMPRODUCT((DA$3:DA$105=V61)*(DD$3:DD$105=V63)*(DE$3:DE$105="D"))+SUMPRODUCT((DA$3:DA$105=V62)*(DD$3:DD$105=V63)*(DE$3:DE$105="D"))</f>
        <v>0</v>
      </c>
      <c r="Y63" s="231">
        <f>SUMPRODUCT((DA$3:DA$105=V63)*(DD$3:DD$105=V64)*(DE$3:DE$105="L"))+SUMPRODUCT((DA$3:DA$105=V63)*(DD$3:DD$105=V65)*(DE$3:DE$105="L"))+SUMPRODUCT((DA$3:DA$105=V63)*(DD$3:DD$105=V61)*(DE$3:DE$105="L"))+SUMPRODUCT((DA$3:DA$105=V63)*(DD$3:DD$105=V62)*(DE$3:DE$105="L"))+SUMPRODUCT((DA$3:DA$105=V64)*(DD$3:DD$105=V63)*(DF$3:DF$105="L"))+SUMPRODUCT((DA$3:DA$105=V65)*(DD$3:DD$105=V63)*(DF$3:DF$105="L"))+SUMPRODUCT((DA$3:DA$105=V61)*(DD$3:DD$105=V63)*(DF$3:DF$105="L"))+SUMPRODUCT((DA$3:DA$105=V62)*(DD$3:DD$105=V63)*(DF$3:DF$105="L"))</f>
        <v>0</v>
      </c>
      <c r="Z63" s="231">
        <f>SUMPRODUCT((DA$3:DA$105=V63)*(DD$3:DD$105=V64)*DB$3:DB$105)+SUMPRODUCT((DA$3:DA$105=V63)*(DD$3:DD$105=V65)*DB$3:DB$105)+SUMPRODUCT((DA$3:DA$105=V63)*(DD$3:DD$105=V61)*DB$3:DB$105)+SUMPRODUCT((DA$3:DA$105=V63)*(DD$3:DD$105=V62)*DB$3:DB$105)+SUMPRODUCT((DA$3:DA$105=V64)*(DD$3:DD$105=V63)*DC$3:DC$105)+SUMPRODUCT((DA$3:DA$105=V65)*(DD$3:DD$105=V63)*DC$3:DC$105)+SUMPRODUCT((DA$3:DA$105=V61)*(DD$3:DD$105=V63)*DC$3:DC$105)+SUMPRODUCT((DA$3:DA$105=V62)*(DD$3:DD$105=V63)*DC$3:DC$105)</f>
        <v>0</v>
      </c>
      <c r="AA63" s="231">
        <f>SUMPRODUCT((DA$3:DA$105=V63)*(DD$3:DD$105=V64)*DC$3:DC$105)+SUMPRODUCT((DA$3:DA$105=V63)*(DD$3:DD$105=V65)*DC$3:DC$105)+SUMPRODUCT((DA$3:DA$105=V63)*(DD$3:DD$105=V61)*DC$3:DC$105)+SUMPRODUCT((DA$3:DA$105=V63)*(DD$3:DD$105=V62)*DC$3:DC$105)+SUMPRODUCT((DA$3:DA$105=V64)*(DD$3:DD$105=V63)*DB$3:DB$105)+SUMPRODUCT((DA$3:DA$105=V65)*(DD$3:DD$105=V63)*DB$3:DB$105)+SUMPRODUCT((DA$3:DA$105=V61)*(DD$3:DD$105=V63)*DB$3:DB$105)+SUMPRODUCT((DA$3:DA$105=V62)*(DD$3:DD$105=V63)*DB$3:DB$105)</f>
        <v>0</v>
      </c>
      <c r="AB63" s="231">
        <f>Z63-AA63+1000</f>
        <v>1000</v>
      </c>
      <c r="AC63" s="231">
        <f t="shared" si="131"/>
        <v>0</v>
      </c>
      <c r="AD63" s="231">
        <f>IF(V63&lt;&gt;"",VLOOKUP(V63,C$4:I$64,7,FALSE),"")</f>
        <v>1000</v>
      </c>
      <c r="AE63" s="231">
        <f>IF(V63&lt;&gt;"",VLOOKUP(V63,C$4:I$64,5,FALSE),"")</f>
        <v>0</v>
      </c>
      <c r="AF63" s="231">
        <f>IF(V63&lt;&gt;"",VLOOKUP(V63,C$4:K$64,9,FALSE),"")</f>
        <v>-124</v>
      </c>
      <c r="AG63" s="231">
        <f t="shared" si="132"/>
        <v>0</v>
      </c>
      <c r="AH63" s="231">
        <f>IF(V63&lt;&gt;"",RANK(AG63,AG$61:AG$64),"")</f>
        <v>1</v>
      </c>
      <c r="AI63" s="231">
        <f>IF(V63&lt;&gt;"",SUMPRODUCT((AG$61:AG$64=AG63)*(AB$61:AB$64&gt;AB63)),"")</f>
        <v>0</v>
      </c>
      <c r="AJ63" s="231">
        <f>IF(V63&lt;&gt;"",SUMPRODUCT((AG$61:AG$64=AG63)*(AB$61:AB$64=AB63)*(Z$61:Z$64&gt;Z63)),"")</f>
        <v>0</v>
      </c>
      <c r="AK63" s="231">
        <f>IF(V63&lt;&gt;"",SUMPRODUCT((AG$61:AG$64=AG63)*(AB$61:AB$64=AB63)*(Z$61:Z$64=Z63)*(AD$61:AD$64&gt;AD63)),"")</f>
        <v>0</v>
      </c>
      <c r="AL63" s="231">
        <f>IF(V63&lt;&gt;"",SUMPRODUCT((AG$61:AG$64=AG63)*(AB$61:AB$64=AB63)*(Z$61:Z$64=Z63)*(AD$61:AD$64=AD63)*(AE$61:AE$64&gt;AE63)),"")</f>
        <v>0</v>
      </c>
      <c r="AM63" s="231">
        <f>IF(V63&lt;&gt;"",SUMPRODUCT((AG$61:AG$64=AG63)*(AB$61:AB$64=AB63)*(Z$61:Z$64=Z63)*(AD$61:AD$64=AD63)*(AE$61:AE$64=AE63)*(AF$61:AF$64&gt;AF63)),"")</f>
        <v>1</v>
      </c>
      <c r="AN63" s="231">
        <f>IF(V63&lt;&gt;"",IF(AN142&lt;&gt;"",IF(U139=3,AN142,AN142+U139),SUM(AH63:AM63)),"")</f>
        <v>2</v>
      </c>
      <c r="AO63" s="231" t="str">
        <f>IF(V63&lt;&gt;"",INDEX(V$61:V$64,MATCH(3,AN$61:AN$64,0),0),"")</f>
        <v>Algeria</v>
      </c>
      <c r="AP63" s="231" t="str">
        <f>IF(R62&lt;&gt;"",R62,"")</f>
        <v/>
      </c>
      <c r="AQ63" s="231">
        <f>SUMPRODUCT((DA$3:DA$105=AP63)*(DD$3:DD$105=AP64)*(DE$3:DE$105="W"))+SUMPRODUCT((DA$3:DA$105=AP63)*(DD$3:DD$105=AP65)*(DE$3:DE$105="W"))+SUMPRODUCT((DA$3:DA$105=AP63)*(DD$3:DD$105=AP62)*(DE$3:DE$105="W"))+SUMPRODUCT((DA$3:DA$105=AP64)*(DD$3:DD$105=AP63)*(DF$3:DF$105="W"))+SUMPRODUCT((DA$3:DA$105=AP65)*(DD$3:DD$105=AP63)*(DF$3:DF$105="W"))+SUMPRODUCT((DA$3:DA$105=AP62)*(DD$3:DD$105=AP63)*(DF$3:DF$105="W"))</f>
        <v>0</v>
      </c>
      <c r="AR63" s="231">
        <f>SUMPRODUCT((DA$3:DA$105=AP63)*(DD$3:DD$105=AP64)*(DE$3:DE$105="D"))+SUMPRODUCT((DA$3:DA$105=AP63)*(DD$3:DD$105=AP65)*(DE$3:DE$105="D"))+SUMPRODUCT((DA$3:DA$105=AP63)*(DD$3:DD$105=AP62)*(DE$3:DE$105="D"))+SUMPRODUCT((DA$3:DA$105=AP64)*(DD$3:DD$105=AP63)*(DE$3:DE$105="D"))+SUMPRODUCT((DA$3:DA$105=AP65)*(DD$3:DD$105=AP63)*(DE$3:DE$105="D"))+SUMPRODUCT((DA$3:DA$105=AP62)*(DD$3:DD$105=AP63)*(DE$3:DE$105="D"))</f>
        <v>0</v>
      </c>
      <c r="AS63" s="231">
        <f>SUMPRODUCT((DA$3:DA$105=AP63)*(DD$3:DD$105=AP64)*(DE$3:DE$105="L"))+SUMPRODUCT((DA$3:DA$105=AP63)*(DD$3:DD$105=AP65)*(DE$3:DE$105="L"))+SUMPRODUCT((DA$3:DA$105=AP63)*(DD$3:DD$105=AP62)*(DE$3:DE$105="L"))+SUMPRODUCT((DA$3:DA$105=AP64)*(DD$3:DD$105=AP63)*(DF$3:DF$105="L"))+SUMPRODUCT((DA$3:DA$105=AP65)*(DD$3:DD$105=AP63)*(DF$3:DF$105="L"))+SUMPRODUCT((DA$3:DA$105=AP62)*(DD$3:DD$105=AP63)*(DF$3:DF$105="L"))</f>
        <v>0</v>
      </c>
      <c r="AT63" s="231">
        <f>SUMPRODUCT((DA$3:DA$105=AP63)*(DD$3:DD$105=AP64)*DB$3:DB$105)+SUMPRODUCT((DA$3:DA$105=AP63)*(DD$3:DD$105=AP65)*DB$3:DB$105)+SUMPRODUCT((DA$3:DA$105=AP63)*(DD$3:DD$105=AP61)*DB$3:DB$105)+SUMPRODUCT((DA$3:DA$105=AP63)*(DD$3:DD$105=AP62)*DB$3:DB$105)+SUMPRODUCT((DA$3:DA$105=AP64)*(DD$3:DD$105=AP63)*DC$3:DC$105)+SUMPRODUCT((DA$3:DA$105=AP65)*(DD$3:DD$105=AP63)*DC$3:DC$105)+SUMPRODUCT((DA$3:DA$105=AP61)*(DD$3:DD$105=AP63)*DC$3:DC$105)+SUMPRODUCT((DA$3:DA$105=AP62)*(DD$3:DD$105=AP63)*DC$3:DC$105)</f>
        <v>0</v>
      </c>
      <c r="AU63" s="231">
        <f>SUMPRODUCT((DA$3:DA$105=AP63)*(DD$3:DD$105=AP64)*DC$3:DC$105)+SUMPRODUCT((DA$3:DA$105=AP63)*(DD$3:DD$105=AP65)*DC$3:DC$105)+SUMPRODUCT((DA$3:DA$105=AP63)*(DD$3:DD$105=AP61)*DC$3:DC$105)+SUMPRODUCT((DA$3:DA$105=AP63)*(DD$3:DD$105=AP62)*DC$3:DC$105)+SUMPRODUCT((DA$3:DA$105=AP64)*(DD$3:DD$105=AP63)*DB$3:DB$105)+SUMPRODUCT((DA$3:DA$105=AP65)*(DD$3:DD$105=AP63)*DB$3:DB$105)+SUMPRODUCT((DA$3:DA$105=AP61)*(DD$3:DD$105=AP63)*DB$3:DB$105)+SUMPRODUCT((DA$3:DA$105=AP62)*(DD$3:DD$105=AP63)*DB$3:DB$105)</f>
        <v>0</v>
      </c>
      <c r="AV63" s="231">
        <f>AT63-AU63+1000</f>
        <v>1000</v>
      </c>
      <c r="AW63" s="231" t="str">
        <f t="shared" si="135"/>
        <v/>
      </c>
      <c r="AX63" s="231" t="str">
        <f>IF(AP63&lt;&gt;"",VLOOKUP(AP63,C$4:I$64,7,FALSE),"")</f>
        <v/>
      </c>
      <c r="AY63" s="231" t="str">
        <f>IF(AP63&lt;&gt;"",VLOOKUP(AP63,C$4:I$64,5,FALSE),"")</f>
        <v/>
      </c>
      <c r="AZ63" s="231" t="str">
        <f>IF(AP63&lt;&gt;"",VLOOKUP(AP63,C$4:K$64,9,FALSE),"")</f>
        <v/>
      </c>
      <c r="BA63" s="231" t="str">
        <f t="shared" si="136"/>
        <v/>
      </c>
      <c r="BB63" s="231" t="str">
        <f>IF(AP63&lt;&gt;"",RANK(BA63,BA$61:BA$64),"")</f>
        <v/>
      </c>
      <c r="BC63" s="231" t="str">
        <f>IF(AP63&lt;&gt;"",SUMPRODUCT((BA$61:BA$64=BA63)*(AV$61:AV$64&gt;AV63)),"")</f>
        <v/>
      </c>
      <c r="BD63" s="231" t="str">
        <f>IF(AP63&lt;&gt;"",SUMPRODUCT((BA$61:BA$64=BA63)*(AV$61:AV$64=AV63)*(AT$61:AT$64&gt;AT63)),"")</f>
        <v/>
      </c>
      <c r="BE63" s="231" t="str">
        <f>IF(AP63&lt;&gt;"",SUMPRODUCT((BA$61:BA$64=BA63)*(AV$61:AV$64=AV63)*(AT$61:AT$64=AT63)*(AX$61:AX$64&gt;AX63)),"")</f>
        <v/>
      </c>
      <c r="BF63" s="231" t="str">
        <f>IF(AP63&lt;&gt;"",SUMPRODUCT((BA$61:BA$64=BA63)*(AV$61:AV$64=AV63)*(AT$61:AT$64=AT63)*(AX$61:AX$64=AX63)*(AY$61:AY$64&gt;AY63)),"")</f>
        <v/>
      </c>
      <c r="BG63" s="231" t="str">
        <f>IF(AP63&lt;&gt;"",SUMPRODUCT((BA$61:BA$64=BA63)*(AV$61:AV$64=AV63)*(AT$61:AT$64=AT63)*(AX$61:AX$64=AX63)*(AY$61:AY$64=AY63)*(AZ$61:AZ$64&gt;AZ63)),"")</f>
        <v/>
      </c>
      <c r="BH63" s="231" t="str">
        <f>IF(AP63&lt;&gt;"",IF(BH142&lt;&gt;"",IF(AO$139=3,BH142,BH142+AO139),SUM(BB63:BG63)+1),"")</f>
        <v/>
      </c>
      <c r="BI63" s="231" t="str">
        <f>IF(AP63&lt;&gt;"",INDEX(AP$62:AP$65,MATCH(3,BH$62:BH$65,0),0),"")</f>
        <v/>
      </c>
      <c r="BJ63" s="231" t="str">
        <f>IF(S61&lt;&gt;"",S61,"")</f>
        <v/>
      </c>
      <c r="BK63" s="231">
        <f>SUMPRODUCT((DA$3:DA$105=BJ63)*(DD$3:DD$105=BJ64)*(DE$3:DE$105="W"))+SUMPRODUCT((DA$3:DA$105=BJ63)*(DD$3:DD$105=BJ65)*(DE$3:DE$105="W"))+SUMPRODUCT((DA$3:DA$105=BJ63)*(DD$3:DD$105=BJ105)*(DE$3:DE$105="W"))+SUMPRODUCT((DA$3:DA$105=BJ64)*(DD$3:DD$105=BJ63)*(DF$3:DF$105="W"))+SUMPRODUCT((DA$3:DA$105=BJ65)*(DD$3:DD$105=BJ63)*(DF$3:DF$105="W"))+SUMPRODUCT((DA$3:DA$105=BJ105)*(DD$3:DD$105=BJ63)*(DF$3:DF$105="W"))</f>
        <v>0</v>
      </c>
      <c r="BL63" s="231">
        <f>SUMPRODUCT((DA$3:DA$105=BJ63)*(DD$3:DD$105=BJ64)*(DE$3:DE$105="D"))+SUMPRODUCT((DA$3:DA$105=BJ63)*(DD$3:DD$105=BJ65)*(DE$3:DE$105="D"))+SUMPRODUCT((DA$3:DA$105=BJ63)*(DD$3:DD$105=BJ105)*(DE$3:DE$105="D"))+SUMPRODUCT((DA$3:DA$105=BJ64)*(DD$3:DD$105=BJ63)*(DE$3:DE$105="D"))+SUMPRODUCT((DA$3:DA$105=BJ65)*(DD$3:DD$105=BJ63)*(DE$3:DE$105="D"))+SUMPRODUCT((DA$3:DA$105=BJ105)*(DD$3:DD$105=BJ63)*(DE$3:DE$105="D"))</f>
        <v>0</v>
      </c>
      <c r="BM63" s="231">
        <f>SUMPRODUCT((DA$3:DA$105=BJ63)*(DD$3:DD$105=BJ64)*(DE$3:DE$105="L"))+SUMPRODUCT((DA$3:DA$105=BJ63)*(DD$3:DD$105=BJ65)*(DE$3:DE$105="L"))+SUMPRODUCT((DA$3:DA$105=BJ63)*(DD$3:DD$105=BJ105)*(DE$3:DE$105="L"))+SUMPRODUCT((DA$3:DA$105=BJ64)*(DD$3:DD$105=BJ63)*(DF$3:DF$105="L"))+SUMPRODUCT((DA$3:DA$105=BJ65)*(DD$3:DD$105=BJ63)*(DF$3:DF$105="L"))+SUMPRODUCT((DA$3:DA$105=BJ105)*(DD$3:DD$105=BJ63)*(DF$3:DF$105="L"))</f>
        <v>0</v>
      </c>
      <c r="BN63" s="231">
        <f>SUMPRODUCT((DA$3:DA$105=BJ63)*(DD$3:DD$105=BJ64)*DB$3:DB$105)+SUMPRODUCT((DA$3:DA$105=BJ63)*(DD$3:DD$105=BJ65)*DB$3:DB$105)+SUMPRODUCT((DA$3:DA$105=BJ63)*(DD$3:DD$105=BJ61)*DB$3:DB$105)+SUMPRODUCT((DA$3:DA$105=BJ63)*(DD$3:DD$105=BJ62)*DB$3:DB$105)+SUMPRODUCT((DA$3:DA$105=BJ64)*(DD$3:DD$105=BJ63)*DC$3:DC$105)+SUMPRODUCT((DA$3:DA$105=BJ65)*(DD$3:DD$105=BJ63)*DC$3:DC$105)+SUMPRODUCT((DA$3:DA$105=BJ61)*(DD$3:DD$105=BJ63)*DC$3:DC$105)+SUMPRODUCT((DA$3:DA$105=BJ62)*(DD$3:DD$105=BJ63)*DC$3:DC$105)</f>
        <v>0</v>
      </c>
      <c r="BO63" s="231">
        <f>SUMPRODUCT((DA$3:DA$105=BJ63)*(DD$3:DD$105=BJ64)*DC$3:DC$105)+SUMPRODUCT((DA$3:DA$105=BJ63)*(DD$3:DD$105=BJ65)*DC$3:DC$105)+SUMPRODUCT((DA$3:DA$105=BJ63)*(DD$3:DD$105=BJ61)*DC$3:DC$105)+SUMPRODUCT((DA$3:DA$105=BJ63)*(DD$3:DD$105=BJ62)*DC$3:DC$105)+SUMPRODUCT((DA$3:DA$105=BJ64)*(DD$3:DD$105=BJ63)*DB$3:DB$105)+SUMPRODUCT((DA$3:DA$105=BJ65)*(DD$3:DD$105=BJ63)*DB$3:DB$105)+SUMPRODUCT((DA$3:DA$105=BJ61)*(DD$3:DD$105=BJ63)*DB$3:DB$105)+SUMPRODUCT((DA$3:DA$105=BJ62)*(DD$3:DD$105=BJ63)*DB$3:DB$105)</f>
        <v>0</v>
      </c>
      <c r="BP63" s="231">
        <f>BN63-BO63+1000</f>
        <v>1000</v>
      </c>
      <c r="BQ63" s="231" t="str">
        <f t="shared" ref="BQ63:BQ64" si="137">IF(BJ63&lt;&gt;"",BK63*3+BL63*1,"")</f>
        <v/>
      </c>
      <c r="BR63" s="231" t="str">
        <f>IF(BJ63&lt;&gt;"",VLOOKUP(BJ63,C$4:I$64,7,FALSE),"")</f>
        <v/>
      </c>
      <c r="BS63" s="231" t="str">
        <f>IF(BJ63&lt;&gt;"",VLOOKUP(BJ63,C$4:I$64,5,FALSE),"")</f>
        <v/>
      </c>
      <c r="BT63" s="231" t="str">
        <f>IF(BJ63&lt;&gt;"",VLOOKUP(BJ63,C$4:K$64,9,FALSE),"")</f>
        <v/>
      </c>
      <c r="BU63" s="231" t="str">
        <f t="shared" ref="BU63:BU64" si="138">BQ63</f>
        <v/>
      </c>
      <c r="BV63" s="231" t="str">
        <f>IF(BJ63&lt;&gt;"",RANK(BU63,BU$62:BU$64),"")</f>
        <v/>
      </c>
      <c r="BW63" s="231" t="str">
        <f>IF(BJ63&lt;&gt;"",SUMPRODUCT((BU$61:BU$64=BU63)*(BP$61:BP$64&gt;BP63)),"")</f>
        <v/>
      </c>
      <c r="BX63" s="231" t="str">
        <f>IF(BJ63&lt;&gt;"",SUMPRODUCT((BU$61:BU$64=BU63)*(BP$61:BP$64=BP63)*(BN$61:BN$64&gt;BN63)),"")</f>
        <v/>
      </c>
      <c r="BY63" s="231" t="str">
        <f>IF(BJ63&lt;&gt;"",SUMPRODUCT((BU$61:BU$64=BU63)*(BP$61:BP$64=BP63)*(BN$61:BN$64=BN63)*(BR$61:BR$64&gt;BR63)),"")</f>
        <v/>
      </c>
      <c r="BZ63" s="231" t="str">
        <f>IF(BJ63&lt;&gt;"",SUMPRODUCT((BU$61:BU$64=BU63)*(BP$61:BP$64=BP63)*(BN$61:BN$64=BN63)*(BR$61:BR$64=BR63)*(BS$61:BS$64&gt;BS63)),"")</f>
        <v/>
      </c>
      <c r="CA63" s="231" t="str">
        <f>IF(BJ63&lt;&gt;"",SUMPRODUCT((BU$61:BU$64=BU63)*(BP$61:BP$64=BP63)*(BN$61:BN$64=BN63)*(BR$61:BR$64=BR63)*(BS$61:BS$64=BS63)*(BT$61:BT$64&gt;BT63)),"")</f>
        <v/>
      </c>
      <c r="CB63" s="231" t="str">
        <f>IF(BJ63&lt;&gt;"",SUM(BV63:CA63)+2,"")</f>
        <v/>
      </c>
      <c r="CC63" s="231" t="str">
        <f>IF(BJ63&lt;&gt;"",INDEX(BJ$63:BJ$65,MATCH(3,CB$63:CB$65,0),0),"")</f>
        <v/>
      </c>
      <c r="CX63" s="231" t="str">
        <f>IF(CC63&lt;&gt;"",CC63,IF(BI63&lt;&gt;"",BI63,IF(AO63&lt;&gt;"",AO63,O63)))</f>
        <v>Algeria</v>
      </c>
      <c r="CY63" s="231">
        <v>3</v>
      </c>
      <c r="DA63" s="234" t="str">
        <f>Matches!H64</f>
        <v>Norway</v>
      </c>
      <c r="DB63" s="234">
        <f>IF($DA$2&lt;&gt;"",IF(AND(Matches!J64&lt;&gt;"",Matches!K64&lt;&gt;""),Matches!J64,0),"")</f>
        <v>0</v>
      </c>
      <c r="DC63" s="234">
        <f>IF($DA$2&lt;&gt;"",IF(AND(Matches!J64&lt;&gt;"",Matches!K64&lt;&gt;""),Matches!K64,0),"")</f>
        <v>0</v>
      </c>
      <c r="DD63" s="234" t="str">
        <f>Matches!M64</f>
        <v>France</v>
      </c>
      <c r="DE63" s="234" t="str">
        <f>IF(AND(Matches!J64&lt;&gt;"",Matches!K64&lt;&gt;""),IF(DB63&gt;DC63,"W",IF(DB63=DC63,"D","L")),"")</f>
        <v/>
      </c>
      <c r="DF63" s="231" t="str">
        <f t="shared" si="106"/>
        <v/>
      </c>
      <c r="DS63" s="233" t="str">
        <f>Matches!H84</f>
        <v>Group L Winner</v>
      </c>
      <c r="DU63" s="233" t="str">
        <f>IF(ISERROR("Calculator!"&amp;VLOOKUP(DS63,Calculator!$DS$7:$DT$54,2,FALSE)),"Calculator!dr77","Calculator!"&amp;VLOOKUP(DS63,Calculator!$DS$7:$DT$54,2,FALSE))</f>
        <v>Calculator!dr77</v>
      </c>
      <c r="DX63" s="230"/>
      <c r="DY63" s="243">
        <v>57</v>
      </c>
      <c r="DZ63" s="244">
        <f t="shared" si="14"/>
        <v>46198.791666666664</v>
      </c>
      <c r="EA63" s="247">
        <v>46198.791666666664</v>
      </c>
      <c r="EB63" s="246">
        <f t="shared" si="75"/>
        <v>46198.791666666664</v>
      </c>
      <c r="EC63" s="247"/>
    </row>
    <row r="64" spans="1:135" x14ac:dyDescent="0.25">
      <c r="A64" s="230">
        <f>Setup!F47+100</f>
        <v>164</v>
      </c>
      <c r="B64" s="231">
        <f>VLOOKUP(C64,CX$61:CY$64,2,FALSE)</f>
        <v>4</v>
      </c>
      <c r="C64" s="232" t="str">
        <f t="shared" si="133"/>
        <v>Jordan</v>
      </c>
      <c r="D64" s="231">
        <f>SUMPRODUCT((DA$3:DA$105=C64)*(DE$3:DE$105="W"))+SUMPRODUCT((DD$3:DD$105=C64)*(DF$3:DF$105="W"))</f>
        <v>0</v>
      </c>
      <c r="E64" s="231">
        <f>SUMPRODUCT((DA$3:DA$105=C64)*(DE$3:DE$105="D"))+SUMPRODUCT((DD$3:DD$105=C64)*(DF$3:DF$105="D"))</f>
        <v>0</v>
      </c>
      <c r="F64" s="231">
        <f>SUMPRODUCT((DA$3:DA$105=C64)*(DE$3:DE$105="L"))+SUMPRODUCT((DD$3:DD$105=C64)*(DF$3:DF$105="L"))</f>
        <v>0</v>
      </c>
      <c r="G64" s="231">
        <f>SUMIF(DA$3:DA$123,C64,DB$3:DB$123)+SUMIF(DD$3:DD$123,C64,DC$3:DC$123)</f>
        <v>0</v>
      </c>
      <c r="H64" s="231">
        <f>SUMIF(DD$3:DD$123,C64,DB$3:DB$123)+SUMIF(DA$3:DA$123,C64,DC$3:DC$123)</f>
        <v>0</v>
      </c>
      <c r="I64" s="231">
        <f t="shared" si="129"/>
        <v>1000</v>
      </c>
      <c r="J64" s="231">
        <f t="shared" si="130"/>
        <v>0</v>
      </c>
      <c r="K64" s="231">
        <f>IF(Setup!G47&lt;&gt;"",Setup!G47,-A64)</f>
        <v>-164</v>
      </c>
      <c r="L64" s="231">
        <f>IF(COUNTIF(J$61:J$64,4)&lt;&gt;4,RANK(J64,J$61:J$64),J143)</f>
        <v>1</v>
      </c>
      <c r="N64" s="231">
        <f>SUMPRODUCT((L$61:L$64=L64)*(K$61:K$64&lt;K64))+L64</f>
        <v>1</v>
      </c>
      <c r="O64" s="232" t="str">
        <f>INDEX(C$61:C$64,MATCH(4,N$61:N$64,0),0)</f>
        <v>Argentina</v>
      </c>
      <c r="P64" s="231">
        <f>INDEX(L$61:L$64,MATCH(O64,C$61:C$64,0),0)</f>
        <v>1</v>
      </c>
      <c r="Q64" s="231" t="str">
        <f>IF(AND(Q63&lt;&gt;"",P64=1),O64,"")</f>
        <v>Argentina</v>
      </c>
      <c r="R64" s="231" t="str">
        <f>IF(AND(R63&lt;&gt;"",P65=2),O65,"")</f>
        <v/>
      </c>
      <c r="V64" s="231" t="str">
        <f t="shared" si="134"/>
        <v>Argentina</v>
      </c>
      <c r="W64" s="231">
        <f>SUMPRODUCT((DA$3:DA$105=V64)*(DD$3:DD$105=V65)*(DE$3:DE$105="W"))+SUMPRODUCT((DA$3:DA$105=V64)*(DD$3:DD$105=V61)*(DE$3:DE$105="W"))+SUMPRODUCT((DA$3:DA$105=V64)*(DD$3:DD$105=V62)*(DE$3:DE$105="W"))+SUMPRODUCT((DA$3:DA$105=V64)*(DD$3:DD$105=V63)*(DE$3:DE$105="W"))+SUMPRODUCT((DA$3:DA$105=V65)*(DD$3:DD$105=V64)*(DF$3:DF$105="W"))+SUMPRODUCT((DA$3:DA$105=V61)*(DD$3:DD$105=V64)*(DF$3:DF$105="W"))+SUMPRODUCT((DA$3:DA$105=V62)*(DD$3:DD$105=V64)*(DF$3:DF$105="W"))+SUMPRODUCT((DA$3:DA$105=V63)*(DD$3:DD$105=V64)*(DF$3:DF$105="W"))</f>
        <v>0</v>
      </c>
      <c r="X64" s="231">
        <f>SUMPRODUCT((DA$3:DA$105=V64)*(DD$3:DD$105=V65)*(DE$3:DE$105="D"))+SUMPRODUCT((DA$3:DA$105=V64)*(DD$3:DD$105=V61)*(DE$3:DE$105="D"))+SUMPRODUCT((DA$3:DA$105=V64)*(DD$3:DD$105=V62)*(DE$3:DE$105="D"))+SUMPRODUCT((DA$3:DA$105=V64)*(DD$3:DD$105=V63)*(DE$3:DE$105="D"))+SUMPRODUCT((DA$3:DA$105=V65)*(DD$3:DD$105=V64)*(DE$3:DE$105="D"))+SUMPRODUCT((DA$3:DA$105=V61)*(DD$3:DD$105=V64)*(DE$3:DE$105="D"))+SUMPRODUCT((DA$3:DA$105=V62)*(DD$3:DD$105=V64)*(DE$3:DE$105="D"))+SUMPRODUCT((DA$3:DA$105=V63)*(DD$3:DD$105=V64)*(DE$3:DE$105="D"))</f>
        <v>0</v>
      </c>
      <c r="Y64" s="231">
        <f>SUMPRODUCT((DA$3:DA$105=V64)*(DD$3:DD$105=V65)*(DE$3:DE$105="L"))+SUMPRODUCT((DA$3:DA$105=V64)*(DD$3:DD$105=V61)*(DE$3:DE$105="L"))+SUMPRODUCT((DA$3:DA$105=V64)*(DD$3:DD$105=V62)*(DE$3:DE$105="L"))+SUMPRODUCT((DA$3:DA$105=V64)*(DD$3:DD$105=V63)*(DE$3:DE$105="L"))+SUMPRODUCT((DA$3:DA$105=V65)*(DD$3:DD$105=V64)*(DF$3:DF$105="L"))+SUMPRODUCT((DA$3:DA$105=V61)*(DD$3:DD$105=V64)*(DF$3:DF$105="L"))+SUMPRODUCT((DA$3:DA$105=V62)*(DD$3:DD$105=V64)*(DF$3:DF$105="L"))+SUMPRODUCT((DA$3:DA$105=V63)*(DD$3:DD$105=V64)*(DF$3:DF$105="L"))</f>
        <v>0</v>
      </c>
      <c r="Z64" s="231">
        <f>SUMPRODUCT((DA$3:DA$105=V64)*(DD$3:DD$105=V65)*DB$3:DB$105)+SUMPRODUCT((DA$3:DA$105=V64)*(DD$3:DD$105=V61)*DB$3:DB$105)+SUMPRODUCT((DA$3:DA$105=V64)*(DD$3:DD$105=V62)*DB$3:DB$105)+SUMPRODUCT((DA$3:DA$105=V64)*(DD$3:DD$105=V63)*DB$3:DB$105)+SUMPRODUCT((DA$3:DA$105=V65)*(DD$3:DD$105=V64)*DC$3:DC$105)+SUMPRODUCT((DA$3:DA$105=V61)*(DD$3:DD$105=V64)*DC$3:DC$105)+SUMPRODUCT((DA$3:DA$105=V62)*(DD$3:DD$105=V64)*DC$3:DC$105)+SUMPRODUCT((DA$3:DA$105=V63)*(DD$3:DD$105=V64)*DC$3:DC$105)</f>
        <v>0</v>
      </c>
      <c r="AA64" s="231">
        <f>SUMPRODUCT((DA$3:DA$105=V64)*(DD$3:DD$105=V65)*DC$3:DC$105)+SUMPRODUCT((DA$3:DA$105=V64)*(DD$3:DD$105=V61)*DC$3:DC$105)+SUMPRODUCT((DA$3:DA$105=V64)*(DD$3:DD$105=V62)*DC$3:DC$105)+SUMPRODUCT((DA$3:DA$105=V64)*(DD$3:DD$105=V63)*DC$3:DC$105)+SUMPRODUCT((DA$3:DA$105=V65)*(DD$3:DD$105=V64)*DB$3:DB$105)+SUMPRODUCT((DA$3:DA$105=V61)*(DD$3:DD$105=V64)*DB$3:DB$105)+SUMPRODUCT((DA$3:DA$105=V62)*(DD$3:DD$105=V64)*DB$3:DB$105)+SUMPRODUCT((DA$3:DA$105=V63)*(DD$3:DD$105=V64)*DB$3:DB$105)</f>
        <v>0</v>
      </c>
      <c r="AB64" s="231">
        <f>Z64-AA64+1000</f>
        <v>1000</v>
      </c>
      <c r="AC64" s="231">
        <f t="shared" si="131"/>
        <v>0</v>
      </c>
      <c r="AD64" s="231">
        <f>IF(V64&lt;&gt;"",VLOOKUP(V64,C$4:I$64,7,FALSE),"")</f>
        <v>1000</v>
      </c>
      <c r="AE64" s="231">
        <f>IF(V64&lt;&gt;"",VLOOKUP(V64,C$4:I$64,5,FALSE),"")</f>
        <v>0</v>
      </c>
      <c r="AF64" s="231">
        <f>IF(V64&lt;&gt;"",VLOOKUP(V64,C$4:K$64,9,FALSE),"")</f>
        <v>-102</v>
      </c>
      <c r="AG64" s="231">
        <f t="shared" si="132"/>
        <v>0</v>
      </c>
      <c r="AH64" s="231">
        <f>IF(V64&lt;&gt;"",RANK(AG64,AG$61:AG$64),"")</f>
        <v>1</v>
      </c>
      <c r="AI64" s="231">
        <f>IF(V64&lt;&gt;"",SUMPRODUCT((AG$61:AG$64=AG64)*(AB$61:AB$64&gt;AB64)),"")</f>
        <v>0</v>
      </c>
      <c r="AJ64" s="231">
        <f>IF(V64&lt;&gt;"",SUMPRODUCT((AG$61:AG$64=AG64)*(AB$61:AB$64=AB64)*(Z$61:Z$64&gt;Z64)),"")</f>
        <v>0</v>
      </c>
      <c r="AK64" s="231">
        <f>IF(V64&lt;&gt;"",SUMPRODUCT((AG$61:AG$64=AG64)*(AB$61:AB$64=AB64)*(Z$61:Z$64=Z64)*(AD$61:AD$64&gt;AD64)),"")</f>
        <v>0</v>
      </c>
      <c r="AL64" s="231">
        <f>IF(V64&lt;&gt;"",SUMPRODUCT((AG$61:AG$64=AG64)*(AB$61:AB$64=AB64)*(Z$61:Z$64=Z64)*(AD$61:AD$64=AD64)*(AE$61:AE$64&gt;AE64)),"")</f>
        <v>0</v>
      </c>
      <c r="AM64" s="231">
        <f>IF(V64&lt;&gt;"",SUMPRODUCT((AG$61:AG$64=AG64)*(AB$61:AB$64=AB64)*(Z$61:Z$64=Z64)*(AD$61:AD$64=AD64)*(AE$61:AE$64=AE64)*(AF$61:AF$64&gt;AF64)),"")</f>
        <v>0</v>
      </c>
      <c r="AN64" s="231">
        <f>IF(V64&lt;&gt;"",IF(AN143&lt;&gt;"",IF(U139=3,AN143,AN143+U139),SUM(AH64:AM64)),"")</f>
        <v>1</v>
      </c>
      <c r="AO64" s="231" t="str">
        <f>IF(V64&lt;&gt;"",INDEX(V$61:V$64,MATCH(4,AN$61:AN$64,0),0),"")</f>
        <v>Jordan</v>
      </c>
      <c r="AP64" s="231" t="str">
        <f>IF(R63&lt;&gt;"",R63,"")</f>
        <v/>
      </c>
      <c r="AQ64" s="231" t="str">
        <f>IF(AP64&lt;&gt;"",SUMPRODUCT((DA$3:DA$105=AP64)*(DD$3:DD$105=AP65)*(DE$3:DE$105="W"))+SUMPRODUCT((DA$3:DA$105=AP64)*(DD$3:DD$105=AP62)*(DE$3:DE$105="W"))+SUMPRODUCT((DA$3:DA$105=AP64)*(DD$3:DD$105=AP63)*(DE$3:DE$105="W"))+SUMPRODUCT((DA$3:DA$105=AP65)*(DD$3:DD$105=AP64)*(DF$3:DF$105="W"))+SUMPRODUCT((DA$3:DA$105=AP62)*(DD$3:DD$105=AP64)*(DF$3:DF$105="W"))+SUMPRODUCT((DA$3:DA$105=AP63)*(DD$3:DD$105=AP64)*(DF$3:DF$105="W")),"")</f>
        <v/>
      </c>
      <c r="AR64" s="231" t="str">
        <f>IF(AP64&lt;&gt;"",SUMPRODUCT((DA$3:DA$105=AP64)*(DD$3:DD$105=AP65)*(DE$3:DE$105="D"))+SUMPRODUCT((DA$3:DA$105=AP64)*(DD$3:DD$105=AP62)*(DE$3:DE$105="D"))+SUMPRODUCT((DA$3:DA$105=AP64)*(DD$3:DD$105=AP63)*(DE$3:DE$105="D"))+SUMPRODUCT((DA$3:DA$105=AP65)*(DD$3:DD$105=AP64)*(DE$3:DE$105="D"))+SUMPRODUCT((DA$3:DA$105=AP62)*(DD$3:DD$105=AP64)*(DE$3:DE$105="D"))+SUMPRODUCT((DA$3:DA$105=AP63)*(DD$3:DD$105=AP64)*(DE$3:DE$105="D")),"")</f>
        <v/>
      </c>
      <c r="AS64" s="231" t="str">
        <f>IF(AP64&lt;&gt;"",SUMPRODUCT((DA$3:DA$105=AP64)*(DD$3:DD$105=AP65)*(DE$3:DE$105="L"))+SUMPRODUCT((DA$3:DA$105=AP64)*(DD$3:DD$105=AP62)*(DE$3:DE$105="L"))+SUMPRODUCT((DA$3:DA$105=AP64)*(DD$3:DD$105=AP63)*(DE$3:DE$105="L"))+SUMPRODUCT((DA$3:DA$105=AP65)*(DD$3:DD$105=AP64)*(DF$3:DF$105="L"))+SUMPRODUCT((DA$3:DA$105=AP62)*(DD$3:DD$105=AP64)*(DF$3:DF$105="L"))+SUMPRODUCT((DA$3:DA$105=AP63)*(DD$3:DD$105=AP64)*(DF$3:DF$105="L")),"")</f>
        <v/>
      </c>
      <c r="AT64" s="231">
        <f>SUMPRODUCT((DA$3:DA$105=AP64)*(DD$3:DD$105=AP65)*DB$3:DB$105)+SUMPRODUCT((DA$3:DA$105=AP64)*(DD$3:DD$105=AP61)*DB$3:DB$105)+SUMPRODUCT((DA$3:DA$105=AP64)*(DD$3:DD$105=AP62)*DB$3:DB$105)+SUMPRODUCT((DA$3:DA$105=AP64)*(DD$3:DD$105=AP63)*DB$3:DB$105)+SUMPRODUCT((DA$3:DA$105=AP65)*(DD$3:DD$105=AP64)*DC$3:DC$105)+SUMPRODUCT((DA$3:DA$105=AP61)*(DD$3:DD$105=AP64)*DC$3:DC$105)+SUMPRODUCT((DA$3:DA$105=AP62)*(DD$3:DD$105=AP64)*DC$3:DC$105)+SUMPRODUCT((DA$3:DA$105=AP63)*(DD$3:DD$105=AP64)*DC$3:DC$105)</f>
        <v>0</v>
      </c>
      <c r="AU64" s="231">
        <f>SUMPRODUCT((DA$3:DA$105=AP64)*(DD$3:DD$105=AP65)*DC$3:DC$105)+SUMPRODUCT((DA$3:DA$105=AP64)*(DD$3:DD$105=AP61)*DC$3:DC$105)+SUMPRODUCT((DA$3:DA$105=AP64)*(DD$3:DD$105=AP62)*DC$3:DC$105)+SUMPRODUCT((DA$3:DA$105=AP64)*(DD$3:DD$105=AP63)*DC$3:DC$105)+SUMPRODUCT((DA$3:DA$105=AP65)*(DD$3:DD$105=AP64)*DB$3:DB$105)+SUMPRODUCT((DA$3:DA$105=AP61)*(DD$3:DD$105=AP64)*DB$3:DB$105)+SUMPRODUCT((DA$3:DA$105=AP62)*(DD$3:DD$105=AP64)*DB$3:DB$105)+SUMPRODUCT((DA$3:DA$105=AP63)*(DD$3:DD$105=AP64)*DB$3:DB$105)</f>
        <v>0</v>
      </c>
      <c r="AV64" s="231">
        <f>AT64-AU64+1000</f>
        <v>1000</v>
      </c>
      <c r="AW64" s="231" t="str">
        <f t="shared" si="135"/>
        <v/>
      </c>
      <c r="AX64" s="231" t="str">
        <f>IF(AP64&lt;&gt;"",VLOOKUP(AP64,C$4:I$64,7,FALSE),"")</f>
        <v/>
      </c>
      <c r="AY64" s="231" t="str">
        <f>IF(AP64&lt;&gt;"",VLOOKUP(AP64,C$4:I$64,5,FALSE),"")</f>
        <v/>
      </c>
      <c r="AZ64" s="231" t="str">
        <f>IF(AP64&lt;&gt;"",VLOOKUP(AP64,C$4:K$64,9,FALSE),"")</f>
        <v/>
      </c>
      <c r="BA64" s="231" t="str">
        <f t="shared" si="136"/>
        <v/>
      </c>
      <c r="BB64" s="231" t="str">
        <f>IF(AP64&lt;&gt;"",RANK(BA64,BA$61:BA$64),"")</f>
        <v/>
      </c>
      <c r="BC64" s="231" t="str">
        <f>IF(AP64&lt;&gt;"",SUMPRODUCT((BA$61:BA$64=BA64)*(AV$61:AV$64&gt;AV64)),"")</f>
        <v/>
      </c>
      <c r="BD64" s="231" t="str">
        <f>IF(AP64&lt;&gt;"",SUMPRODUCT((BA$61:BA$64=BA64)*(AV$61:AV$64=AV64)*(AT$61:AT$64&gt;AT64)),"")</f>
        <v/>
      </c>
      <c r="BE64" s="231" t="str">
        <f>IF(AP64&lt;&gt;"",SUMPRODUCT((BA$61:BA$64=BA64)*(AV$61:AV$64=AV64)*(AT$61:AT$64=AT64)*(AX$61:AX$64&gt;AX64)),"")</f>
        <v/>
      </c>
      <c r="BF64" s="231" t="str">
        <f>IF(AP64&lt;&gt;"",SUMPRODUCT((BA$61:BA$64=BA64)*(AV$61:AV$64=AV64)*(AT$61:AT$64=AT64)*(AX$61:AX$64=AX64)*(AY$61:AY$64&gt;AY64)),"")</f>
        <v/>
      </c>
      <c r="BG64" s="231" t="str">
        <f>IF(AP64&lt;&gt;"",SUMPRODUCT((BA$61:BA$64=BA64)*(AV$61:AV$64=AV64)*(AT$61:AT$64=AT64)*(AX$61:AX$64=AX64)*(AY$61:AY$64=AY64)*(AZ$61:AZ$64&gt;AZ64)),"")</f>
        <v/>
      </c>
      <c r="BH64" s="231" t="str">
        <f>IF(AP64&lt;&gt;"",IF(BH143&lt;&gt;"",IF(AO$139=3,BH143,BH143+AO139),SUM(BB64:BG64)+1),"")</f>
        <v/>
      </c>
      <c r="BI64" s="231" t="str">
        <f>IF(AP64&lt;&gt;"",INDEX(AP$62:AP$65,MATCH(4,BH$62:BH$65,0),0),"")</f>
        <v/>
      </c>
      <c r="BJ64" s="231" t="str">
        <f>IF(S62&lt;&gt;"",S62,"")</f>
        <v/>
      </c>
      <c r="BK64" s="231">
        <f>SUMPRODUCT((DA$3:DA$105=BJ64)*(DD$3:DD$105=BJ65)*(DE$3:DE$105="W"))+SUMPRODUCT((DA$3:DA$105=BJ64)*(DD$3:DD$105=BJ105)*(DE$3:DE$105="W"))+SUMPRODUCT((DA$3:DA$105=BJ64)*(DD$3:DD$105=BJ63)*(DE$3:DE$105="W"))+SUMPRODUCT((DA$3:DA$105=BJ65)*(DD$3:DD$105=BJ64)*(DF$3:DF$105="W"))+SUMPRODUCT((DA$3:DA$105=BJ105)*(DD$3:DD$105=BJ64)*(DF$3:DF$105="W"))+SUMPRODUCT((DA$3:DA$105=BJ63)*(DD$3:DD$105=BJ64)*(DF$3:DF$105="W"))</f>
        <v>0</v>
      </c>
      <c r="BL64" s="231">
        <f>SUMPRODUCT((DA$3:DA$105=BJ64)*(DD$3:DD$105=BJ65)*(DE$3:DE$105="D"))+SUMPRODUCT((DA$3:DA$105=BJ64)*(DD$3:DD$105=BJ105)*(DE$3:DE$105="D"))+SUMPRODUCT((DA$3:DA$105=BJ64)*(DD$3:DD$105=BJ63)*(DE$3:DE$105="D"))+SUMPRODUCT((DA$3:DA$105=BJ65)*(DD$3:DD$105=BJ64)*(DE$3:DE$105="D"))+SUMPRODUCT((DA$3:DA$105=BJ105)*(DD$3:DD$105=BJ64)*(DE$3:DE$105="D"))+SUMPRODUCT((DA$3:DA$105=BJ63)*(DD$3:DD$105=BJ64)*(DE$3:DE$105="D"))</f>
        <v>0</v>
      </c>
      <c r="BM64" s="231">
        <f>SUMPRODUCT((DA$3:DA$105=BJ64)*(DD$3:DD$105=BJ65)*(DE$3:DE$105="L"))+SUMPRODUCT((DA$3:DA$105=BJ64)*(DD$3:DD$105=BJ105)*(DE$3:DE$105="L"))+SUMPRODUCT((DA$3:DA$105=BJ64)*(DD$3:DD$105=BJ63)*(DE$3:DE$105="L"))+SUMPRODUCT((DA$3:DA$105=BJ65)*(DD$3:DD$105=BJ64)*(DF$3:DF$105="L"))+SUMPRODUCT((DA$3:DA$105=BJ105)*(DD$3:DD$105=BJ64)*(DF$3:DF$105="L"))+SUMPRODUCT((DA$3:DA$105=BJ63)*(DD$3:DD$105=BJ64)*(DF$3:DF$105="L"))</f>
        <v>0</v>
      </c>
      <c r="BN64" s="231">
        <f>SUMPRODUCT((DA$3:DA$105=BJ64)*(DD$3:DD$105=BJ65)*DB$3:DB$105)+SUMPRODUCT((DA$3:DA$105=BJ64)*(DD$3:DD$105=BJ61)*DB$3:DB$105)+SUMPRODUCT((DA$3:DA$105=BJ64)*(DD$3:DD$105=BJ62)*DB$3:DB$105)+SUMPRODUCT((DA$3:DA$105=BJ64)*(DD$3:DD$105=BJ63)*DB$3:DB$105)+SUMPRODUCT((DA$3:DA$105=BJ65)*(DD$3:DD$105=BJ64)*DC$3:DC$105)+SUMPRODUCT((DA$3:DA$105=BJ61)*(DD$3:DD$105=BJ64)*DC$3:DC$105)+SUMPRODUCT((DA$3:DA$105=BJ62)*(DD$3:DD$105=BJ64)*DC$3:DC$105)+SUMPRODUCT((DA$3:DA$105=BJ63)*(DD$3:DD$105=BJ64)*DC$3:DC$105)</f>
        <v>0</v>
      </c>
      <c r="BO64" s="231">
        <f>SUMPRODUCT((DA$3:DA$105=BJ64)*(DD$3:DD$105=BJ65)*DC$3:DC$105)+SUMPRODUCT((DA$3:DA$105=BJ64)*(DD$3:DD$105=BJ61)*DC$3:DC$105)+SUMPRODUCT((DA$3:DA$105=BJ64)*(DD$3:DD$105=BJ62)*DC$3:DC$105)+SUMPRODUCT((DA$3:DA$105=BJ64)*(DD$3:DD$105=BJ63)*DC$3:DC$105)+SUMPRODUCT((DA$3:DA$105=BJ65)*(DD$3:DD$105=BJ64)*DB$3:DB$105)+SUMPRODUCT((DA$3:DA$105=BJ61)*(DD$3:DD$105=BJ64)*DB$3:DB$105)+SUMPRODUCT((DA$3:DA$105=BJ62)*(DD$3:DD$105=BJ64)*DB$3:DB$105)+SUMPRODUCT((DA$3:DA$105=BJ63)*(DD$3:DD$105=BJ64)*DB$3:DB$105)</f>
        <v>0</v>
      </c>
      <c r="BP64" s="231">
        <f>BN64-BO64+1000</f>
        <v>1000</v>
      </c>
      <c r="BQ64" s="231" t="str">
        <f t="shared" si="137"/>
        <v/>
      </c>
      <c r="BR64" s="231" t="str">
        <f>IF(BJ64&lt;&gt;"",VLOOKUP(BJ64,C$4:I$64,7,FALSE),"")</f>
        <v/>
      </c>
      <c r="BS64" s="231" t="str">
        <f>IF(BJ64&lt;&gt;"",VLOOKUP(BJ64,C$4:I$64,5,FALSE),"")</f>
        <v/>
      </c>
      <c r="BT64" s="231" t="str">
        <f>IF(BJ64&lt;&gt;"",VLOOKUP(BJ64,C$4:K$64,9,FALSE),"")</f>
        <v/>
      </c>
      <c r="BU64" s="231" t="str">
        <f t="shared" si="138"/>
        <v/>
      </c>
      <c r="BV64" s="231" t="str">
        <f>IF(BJ64&lt;&gt;"",RANK(BU64,BU$62:BU$64),"")</f>
        <v/>
      </c>
      <c r="BW64" s="231" t="str">
        <f>IF(BJ64&lt;&gt;"",SUMPRODUCT((BU$61:BU$64=BU64)*(BP$61:BP$64&gt;BP64)),"")</f>
        <v/>
      </c>
      <c r="BX64" s="231" t="str">
        <f>IF(BJ64&lt;&gt;"",SUMPRODUCT((BU$61:BU$64=BU64)*(BP$61:BP$64=BP64)*(BN$61:BN$64&gt;BN64)),"")</f>
        <v/>
      </c>
      <c r="BY64" s="231" t="str">
        <f>IF(BJ64&lt;&gt;"",SUMPRODUCT((BU$61:BU$64=BU64)*(BP$61:BP$64=BP64)*(BN$61:BN$64=BN64)*(BR$61:BR$64&gt;BR64)),"")</f>
        <v/>
      </c>
      <c r="BZ64" s="231" t="str">
        <f>IF(BJ64&lt;&gt;"",SUMPRODUCT((BU$61:BU$64=BU64)*(BP$61:BP$64=BP64)*(BN$61:BN$64=BN64)*(BR$61:BR$64=BR64)*(BS$61:BS$64&gt;BS64)),"")</f>
        <v/>
      </c>
      <c r="CA64" s="231" t="str">
        <f>IF(BJ64&lt;&gt;"",SUMPRODUCT((BU$61:BU$64=BU64)*(BP$61:BP$64=BP64)*(BN$61:BN$64=BN64)*(BR$61:BR$64=BR64)*(BS$61:BS$64=BS64)*(BT$61:BT$64&gt;BT64)),"")</f>
        <v/>
      </c>
      <c r="CB64" s="231" t="str">
        <f>IF(BJ64&lt;&gt;"",SUM(BV64:CA64)+2,"")</f>
        <v/>
      </c>
      <c r="CC64" s="231" t="str">
        <f>IF(BJ64&lt;&gt;"",INDEX(BJ$63:BJ$65,MATCH(4,CB$63:CB$65,0),0),"")</f>
        <v/>
      </c>
      <c r="CD64" s="231" t="str">
        <f>IF(T61&lt;&gt;"",T61,"")</f>
        <v/>
      </c>
      <c r="CE64" s="231">
        <f>SUMPRODUCT((DA$3:DA$105=CD64)*(DD$3:DD$105=CD65)*(DE$3:DE$105="W"))+SUMPRODUCT((DA$3:DA$105=CD64)*(DD$3:DD$105=CD105)*(DE$3:DE$105="W"))+SUMPRODUCT((DA$3:DA$105=CD64)*(DD$3:DD$105=CD106)*(DE$3:DE$105="W"))+SUMPRODUCT((DA$3:DA$105=CD65)*(DD$3:DD$105=CD64)*(DF$3:DF$105="W"))+SUMPRODUCT((DA$3:DA$105=CD105)*(DD$3:DD$105=CD64)*(DF$3:DF$105="W"))+SUMPRODUCT((DA$3:DA$105=CD106)*(DD$3:DD$105=CD64)*(DF$3:DF$105="W"))</f>
        <v>0</v>
      </c>
      <c r="CF64" s="231">
        <f>SUMPRODUCT((DA$3:DA$105=CD64)*(DD$3:DD$105=CD65)*(DE$3:DE$105="D"))+SUMPRODUCT((DA$3:DA$105=CD64)*(DD$3:DD$105=CD105)*(DE$3:DE$105="D"))+SUMPRODUCT((DA$3:DA$105=CD64)*(DD$3:DD$105=CD106)*(DE$3:DE$105="D"))+SUMPRODUCT((DA$3:DA$105=CD65)*(DD$3:DD$105=CD64)*(DE$3:DE$105="D"))+SUMPRODUCT((DA$3:DA$105=CD105)*(DD$3:DD$105=CD64)*(DE$3:DE$105="D"))+SUMPRODUCT((DA$3:DA$105=CD106)*(DD$3:DD$105=CD64)*(DE$3:DE$105="D"))</f>
        <v>0</v>
      </c>
      <c r="CG64" s="231">
        <f>SUMPRODUCT((DA$3:DA$105=CD64)*(DD$3:DD$105=CD65)*(DE$3:DE$105="L"))+SUMPRODUCT((DA$3:DA$105=CD64)*(DD$3:DD$105=CD105)*(DE$3:DE$105="L"))+SUMPRODUCT((DA$3:DA$105=CD64)*(DD$3:DD$105=CD106)*(DE$3:DE$105="L"))+SUMPRODUCT((DA$3:DA$105=CD65)*(DD$3:DD$105=CD64)*(DF$3:DF$105="L"))+SUMPRODUCT((DA$3:DA$105=CD105)*(DD$3:DD$105=CD64)*(DF$3:DF$105="L"))+SUMPRODUCT((DA$3:DA$105=CD106)*(DD$3:DD$105=CD64)*(DF$3:DF$105="L"))</f>
        <v>0</v>
      </c>
      <c r="CH64" s="231">
        <f>SUMPRODUCT((DA$3:DA$105=CD64)*(DD$3:DD$105=CD65)*DB$3:DB$105)+SUMPRODUCT((DA$3:DA$105=CD64)*(DD$3:DD$105=CD61)*DB$3:DB$105)+SUMPRODUCT((DA$3:DA$105=CD64)*(DD$3:DD$105=CD62)*DB$3:DB$105)+SUMPRODUCT((DA$3:DA$105=CD64)*(DD$3:DD$105=CD63)*DB$3:DB$105)+SUMPRODUCT((DA$3:DA$105=CD65)*(DD$3:DD$105=CD64)*DC$3:DC$105)+SUMPRODUCT((DA$3:DA$105=CD61)*(DD$3:DD$105=CD64)*DC$3:DC$105)+SUMPRODUCT((DA$3:DA$105=CD62)*(DD$3:DD$105=CD64)*DC$3:DC$105)+SUMPRODUCT((DA$3:DA$105=CD63)*(DD$3:DD$105=CD64)*DC$3:DC$105)</f>
        <v>0</v>
      </c>
      <c r="CI64" s="231">
        <f>SUMPRODUCT((DA$3:DA$105=CD64)*(DD$3:DD$105=CD65)*DC$3:DC$105)+SUMPRODUCT((DA$3:DA$105=CD64)*(DD$3:DD$105=CD61)*DC$3:DC$105)+SUMPRODUCT((DA$3:DA$105=CD64)*(DD$3:DD$105=CD62)*DC$3:DC$105)+SUMPRODUCT((DA$3:DA$105=CD64)*(DD$3:DD$105=CD63)*DC$3:DC$105)+SUMPRODUCT((DA$3:DA$105=CD65)*(DD$3:DD$105=CD64)*DB$3:DB$105)+SUMPRODUCT((DA$3:DA$105=CD61)*(DD$3:DD$105=CD64)*DB$3:DB$105)+SUMPRODUCT((DA$3:DA$105=CD62)*(DD$3:DD$105=CD64)*DB$3:DB$105)+SUMPRODUCT((DA$3:DA$105=CD63)*(DD$3:DD$105=CD64)*DB$3:DB$105)</f>
        <v>0</v>
      </c>
      <c r="CJ64" s="231">
        <f>CH64-CI64+1000</f>
        <v>1000</v>
      </c>
      <c r="CK64" s="231" t="str">
        <f t="shared" ref="CK64" si="139">IF(CD64&lt;&gt;"",CE64*3+CF64*1,"")</f>
        <v/>
      </c>
      <c r="CL64" s="231" t="str">
        <f>IF(CD64&lt;&gt;"",VLOOKUP(CD64,C$4:I$64,7,FALSE),"")</f>
        <v/>
      </c>
      <c r="CM64" s="231" t="str">
        <f>IF(CD64&lt;&gt;"",VLOOKUP(CD64,C$4:I$64,5,FALSE),"")</f>
        <v/>
      </c>
      <c r="CN64" s="231" t="str">
        <f>IF(CD64&lt;&gt;"",VLOOKUP(CD64,C$4:K$64,9,FALSE),"")</f>
        <v/>
      </c>
      <c r="CO64" s="231" t="str">
        <f t="shared" ref="CO64" si="140">CK64</f>
        <v/>
      </c>
      <c r="CP64" s="231" t="str">
        <f>IF(CD64&lt;&gt;"",RANK(CO64,AG61:AG65),"")</f>
        <v/>
      </c>
      <c r="CQ64" s="231" t="str">
        <f>IF(CD64&lt;&gt;"",SUMPRODUCT((CO61:CO65=CO64)*(CJ61:CJ65&gt;CJ64)),"")</f>
        <v/>
      </c>
      <c r="CR64" s="231" t="str">
        <f>IF(CD64&lt;&gt;"",SUMPRODUCT((CO61:CO65=CO64)*(CJ61:CJ65=CJ64)*(CH61:CH65&gt;CH64)),"")</f>
        <v/>
      </c>
      <c r="CS64" s="231" t="str">
        <f>IF(CD64&lt;&gt;"",SUMPRODUCT((CO61:CO65=CO64)*(CJ61:CJ65=CJ64)*(CH61:CH65=CH64)*(CL61:CL65&gt;CL64)),"")</f>
        <v/>
      </c>
      <c r="CT64" s="231" t="str">
        <f>IF(CD64&lt;&gt;"",SUMPRODUCT((CO61:CO65=CO64)*(CJ61:CJ65=CJ64)*(CH61:CH65=CH64)*(CL61:CL65=CL64)*(CM61:CM65&gt;CM64)),"")</f>
        <v/>
      </c>
      <c r="CU64" s="231" t="str">
        <f>IF(CD64&lt;&gt;"",SUMPRODUCT((CO61:CO65=CO64)*(CJ61:CJ65=CJ64)*(CH61:CH65=CH64)*(CL61:CL65=CL64)*(CM61:CM65=CM64)*(CN61:CN65&gt;CN64)),"")</f>
        <v/>
      </c>
      <c r="CV64" s="231" t="str">
        <f>IF(CD64&lt;&gt;"",SUM(CP64:CU64)+3,"")</f>
        <v/>
      </c>
      <c r="CW64" s="231" t="str">
        <f>IF(CD64&lt;&gt;"",IF(CV64=4,CD64,CD65),"")</f>
        <v/>
      </c>
      <c r="CX64" s="231" t="str">
        <f>IF(CW64&lt;&gt;"",CW64,IF(CC64&lt;&gt;"",CC64,IF(BI64&lt;&gt;"",BI64,IF(AO64&lt;&gt;"",AO64,O64))))</f>
        <v>Jordan</v>
      </c>
      <c r="CY64" s="231">
        <v>4</v>
      </c>
      <c r="DA64" s="234" t="str">
        <f>Matches!H65</f>
        <v>Senegal</v>
      </c>
      <c r="DB64" s="234">
        <f>IF($DA$2&lt;&gt;"",IF(AND(Matches!J65&lt;&gt;"",Matches!K65&lt;&gt;""),Matches!J65,0),"")</f>
        <v>0</v>
      </c>
      <c r="DC64" s="234">
        <f>IF($DA$2&lt;&gt;"",IF(AND(Matches!J65&lt;&gt;"",Matches!K65&lt;&gt;""),Matches!K65,0),"")</f>
        <v>0</v>
      </c>
      <c r="DD64" s="234" t="str">
        <f>Matches!M65</f>
        <v>Iraq</v>
      </c>
      <c r="DE64" s="234" t="str">
        <f>IF(AND(Matches!J65&lt;&gt;"",Matches!K65&lt;&gt;""),IF(DB64&gt;DC64,"W",IF(DB64=DC64,"D","L")),"")</f>
        <v/>
      </c>
      <c r="DF64" s="231" t="str">
        <f t="shared" si="106"/>
        <v/>
      </c>
      <c r="DS64" s="233" t="str">
        <f>Matches!H85</f>
        <v>Group D Winner</v>
      </c>
      <c r="DU64" s="233" t="str">
        <f>IF(ISERROR("Calculator!"&amp;VLOOKUP(DS64,Calculator!$DS$7:$DT$54,2,FALSE)),"Calculator!dr77","Calculator!"&amp;VLOOKUP(DS64,Calculator!$DS$7:$DT$54,2,FALSE))</f>
        <v>Calculator!dr77</v>
      </c>
      <c r="DX64" s="230"/>
      <c r="DY64" s="243">
        <v>58</v>
      </c>
      <c r="DZ64" s="244">
        <f t="shared" si="14"/>
        <v>46198.791666666664</v>
      </c>
      <c r="EA64" s="247">
        <v>46198.791666666664</v>
      </c>
      <c r="EB64" s="246">
        <f t="shared" si="75"/>
        <v>46198.791666666664</v>
      </c>
      <c r="EC64" s="247"/>
    </row>
    <row r="65" spans="1:133" x14ac:dyDescent="0.25">
      <c r="DA65" s="234" t="str">
        <f>Matches!H66</f>
        <v>Egypt</v>
      </c>
      <c r="DB65" s="234">
        <f>IF($DA$2&lt;&gt;"",IF(AND(Matches!J66&lt;&gt;"",Matches!K66&lt;&gt;""),Matches!J66,0),"")</f>
        <v>0</v>
      </c>
      <c r="DC65" s="234">
        <f>IF($DA$2&lt;&gt;"",IF(AND(Matches!J66&lt;&gt;"",Matches!K66&lt;&gt;""),Matches!K66,0),"")</f>
        <v>0</v>
      </c>
      <c r="DD65" s="234" t="str">
        <f>Matches!M66</f>
        <v>Iran</v>
      </c>
      <c r="DE65" s="234" t="str">
        <f>IF(AND(Matches!J66&lt;&gt;"",Matches!K66&lt;&gt;""),IF(DB65&gt;DC65,"W",IF(DB65=DC65,"D","L")),"")</f>
        <v/>
      </c>
      <c r="DF65" s="231" t="str">
        <f t="shared" si="106"/>
        <v/>
      </c>
      <c r="DS65" s="233" t="str">
        <f>Matches!H86</f>
        <v>Group G Winner</v>
      </c>
      <c r="DU65" s="233" t="str">
        <f>IF(ISERROR("Calculator!"&amp;VLOOKUP(DS65,Calculator!$DS$7:$DT$54,2,FALSE)),"Calculator!dr77","Calculator!"&amp;VLOOKUP(DS65,Calculator!$DS$7:$DT$54,2,FALSE))</f>
        <v>Calculator!dr77</v>
      </c>
      <c r="DX65" s="230"/>
      <c r="DY65" s="243">
        <v>59</v>
      </c>
      <c r="DZ65" s="244">
        <f t="shared" si="14"/>
        <v>46198.916666666664</v>
      </c>
      <c r="EA65" s="247">
        <v>46198.916666666664</v>
      </c>
      <c r="EB65" s="246">
        <f t="shared" si="75"/>
        <v>46198.916666666664</v>
      </c>
      <c r="EC65" s="247"/>
    </row>
    <row r="66" spans="1:133" x14ac:dyDescent="0.25">
      <c r="DA66" s="234" t="str">
        <f>Matches!H67</f>
        <v>New Zealand</v>
      </c>
      <c r="DB66" s="234">
        <f>IF($DA$2&lt;&gt;"",IF(AND(Matches!J67&lt;&gt;"",Matches!K67&lt;&gt;""),Matches!J67,0),"")</f>
        <v>0</v>
      </c>
      <c r="DC66" s="234">
        <f>IF($DA$2&lt;&gt;"",IF(AND(Matches!J67&lt;&gt;"",Matches!K67&lt;&gt;""),Matches!K67,0),"")</f>
        <v>0</v>
      </c>
      <c r="DD66" s="234" t="str">
        <f>Matches!M67</f>
        <v>Belgium</v>
      </c>
      <c r="DE66" s="234" t="str">
        <f>IF(AND(Matches!J67&lt;&gt;"",Matches!K67&lt;&gt;""),IF(DB66&gt;DC66,"W",IF(DB66=DC66,"D","L")),"")</f>
        <v/>
      </c>
      <c r="DF66" s="231" t="str">
        <f t="shared" si="106"/>
        <v/>
      </c>
      <c r="DS66" s="233" t="str">
        <f>Matches!H87</f>
        <v>Group K Runner Up</v>
      </c>
      <c r="DU66" s="233" t="str">
        <f>IF(ISERROR("Calculator!"&amp;VLOOKUP(DS66,Calculator!$DS$7:$DT$54,2,FALSE)),"Calculator!dr77","Calculator!"&amp;VLOOKUP(DS66,Calculator!$DS$7:$DT$54,2,FALSE))</f>
        <v>Calculator!dr77</v>
      </c>
      <c r="DX66" s="230"/>
      <c r="DY66" s="243">
        <v>60</v>
      </c>
      <c r="DZ66" s="244">
        <f t="shared" si="14"/>
        <v>46198.916666666664</v>
      </c>
      <c r="EA66" s="247">
        <v>46198.916666666664</v>
      </c>
      <c r="EB66" s="246">
        <f t="shared" si="75"/>
        <v>46198.916666666664</v>
      </c>
      <c r="EC66" s="247"/>
    </row>
    <row r="67" spans="1:133" x14ac:dyDescent="0.25">
      <c r="A67" s="230">
        <f>Setup!F48+100</f>
        <v>106</v>
      </c>
      <c r="B67" s="231">
        <f>VLOOKUP(C67,CX$67:CY$70,2,FALSE)</f>
        <v>1</v>
      </c>
      <c r="C67" s="232" t="str">
        <f>EE47</f>
        <v>Portugal</v>
      </c>
      <c r="D67" s="231">
        <f>SUMPRODUCT((DA$3:DA$105=C67)*(DE$3:DE$105="W"))+SUMPRODUCT((DD$3:DD$105=C67)*(DF$3:DF$105="W"))</f>
        <v>0</v>
      </c>
      <c r="E67" s="231">
        <f>SUMPRODUCT((DA$3:DA$105=C67)*(DE$3:DE$105="D"))+SUMPRODUCT((DD$3:DD$105=C67)*(DF$3:DF$105="D"))</f>
        <v>0</v>
      </c>
      <c r="F67" s="231">
        <f>SUMPRODUCT((DA$3:DA$105=C67)*(DE$3:DE$105="L"))+SUMPRODUCT((DD$3:DD$105=C67)*(DF$3:DF$105="L"))</f>
        <v>0</v>
      </c>
      <c r="G67" s="231">
        <f>SUMIF(DA$3:DA$123,C67,DB$3:DB$123)+SUMIF(DD$3:DD$123,C67,DC$3:DC$123)</f>
        <v>0</v>
      </c>
      <c r="H67" s="231">
        <f>SUMIF(DD$3:DD$123,C67,DB$3:DB$123)+SUMIF(DA$3:DA$123,C67,DC$3:DC$123)</f>
        <v>0</v>
      </c>
      <c r="I67" s="231">
        <f t="shared" ref="I67:I70" si="141">G67-H67+1000</f>
        <v>1000</v>
      </c>
      <c r="J67" s="231">
        <f t="shared" ref="J67:J70" si="142">D67*3+E67*1</f>
        <v>0</v>
      </c>
      <c r="K67" s="231">
        <f>IF(Setup!G48&lt;&gt;"",Setup!G48,-A67)</f>
        <v>-106</v>
      </c>
      <c r="L67" s="231">
        <f>IF(COUNTIF(J$67:J$70,4)&lt;&gt;4,RANK(J67,J$67:J$70),J146)</f>
        <v>1</v>
      </c>
      <c r="N67" s="231">
        <f>SUMPRODUCT((L$67:L$70=L67)*(K$67:K$70&lt;K67))+L67</f>
        <v>4</v>
      </c>
      <c r="O67" s="232" t="str">
        <f>INDEX(C$67:C$70,MATCH(1,N$67:N$70,0),0)</f>
        <v>Uzbekistan</v>
      </c>
      <c r="P67" s="231">
        <f>INDEX(L$67:L$70,MATCH(O67,C$67:C$70,0),0)</f>
        <v>1</v>
      </c>
      <c r="Q67" s="231" t="str">
        <f>IF(P68=1,O67,"")</f>
        <v>Uzbekistan</v>
      </c>
      <c r="R67" s="231" t="str">
        <f>IF(P69=2,O68,"")</f>
        <v/>
      </c>
      <c r="S67" s="231" t="str">
        <f>IF(P70=3,O69,"")</f>
        <v/>
      </c>
      <c r="T67" s="231" t="str">
        <f>IF(P71=4,O70,"")</f>
        <v/>
      </c>
      <c r="V67" s="231" t="str">
        <f>IF(Q67&lt;&gt;"",Q67,"")</f>
        <v>Uzbekistan</v>
      </c>
      <c r="W67" s="231">
        <f>SUMPRODUCT((DA$3:DA$105=V67)*(DD$3:DD$105=V68)*(DE$3:DE$105="W"))+SUMPRODUCT((DA$3:DA$105=V67)*(DD$3:DD$105=V69)*(DE$3:DE$105="W"))+SUMPRODUCT((DA$3:DA$105=V67)*(DD$3:DD$105=V70)*(DE$3:DE$105="W"))+SUMPRODUCT((DA$3:DA$105=V67)*(DD$3:DD$105=V71)*(DE$3:DE$105="W"))+SUMPRODUCT((DA$3:DA$105=V68)*(DD$3:DD$105=V67)*(DF$3:DF$105="W"))+SUMPRODUCT((DA$3:DA$105=V69)*(DD$3:DD$105=V67)*(DF$3:DF$105="W"))+SUMPRODUCT((DA$3:DA$105=V70)*(DD$3:DD$105=V67)*(DF$3:DF$105="W"))+SUMPRODUCT((DA$3:DA$105=V71)*(DD$3:DD$105=V67)*(DF$3:DF$105="W"))</f>
        <v>0</v>
      </c>
      <c r="X67" s="231">
        <f>SUMPRODUCT((DA$3:DA$105=V67)*(DD$3:DD$105=V68)*(DE$3:DE$105="D"))+SUMPRODUCT((DA$3:DA$105=V67)*(DD$3:DD$105=V69)*(DE$3:DE$105="D"))+SUMPRODUCT((DA$3:DA$105=V67)*(DD$3:DD$105=V70)*(DE$3:DE$105="D"))+SUMPRODUCT((DA$3:DA$105=V67)*(DD$3:DD$105=V71)*(DE$3:DE$105="D"))+SUMPRODUCT((DA$3:DA$105=V68)*(DD$3:DD$105=V67)*(DE$3:DE$105="D"))+SUMPRODUCT((DA$3:DA$105=V69)*(DD$3:DD$105=V67)*(DE$3:DE$105="D"))+SUMPRODUCT((DA$3:DA$105=V70)*(DD$3:DD$105=V67)*(DE$3:DE$105="D"))+SUMPRODUCT((DA$3:DA$105=V71)*(DD$3:DD$105=V67)*(DE$3:DE$105="D"))</f>
        <v>0</v>
      </c>
      <c r="Y67" s="231">
        <f>SUMPRODUCT((DA$3:DA$105=V67)*(DD$3:DD$105=V68)*(DE$3:DE$105="L"))+SUMPRODUCT((DA$3:DA$105=V67)*(DD$3:DD$105=V69)*(DE$3:DE$105="L"))+SUMPRODUCT((DA$3:DA$105=V67)*(DD$3:DD$105=V70)*(DE$3:DE$105="L"))+SUMPRODUCT((DA$3:DA$105=V67)*(DD$3:DD$105=V71)*(DE$3:DE$105="L"))+SUMPRODUCT((DA$3:DA$105=V68)*(DD$3:DD$105=V67)*(DF$3:DF$105="L"))+SUMPRODUCT((DA$3:DA$105=V69)*(DD$3:DD$105=V67)*(DF$3:DF$105="L"))+SUMPRODUCT((DA$3:DA$105=V70)*(DD$3:DD$105=V67)*(DF$3:DF$105="L"))+SUMPRODUCT((DA$3:DA$105=V71)*(DD$3:DD$105=V67)*(DF$3:DF$105="L"))</f>
        <v>0</v>
      </c>
      <c r="Z67" s="231">
        <f>SUMPRODUCT((DA$3:DA$105=V67)*(DD$3:DD$105=V68)*DB$3:DB$105)+SUMPRODUCT((DA$3:DA$105=V67)*(DD$3:DD$105=V69)*DB$3:DB$105)+SUMPRODUCT((DA$3:DA$105=V67)*(DD$3:DD$105=V70)*DB$3:DB$105)+SUMPRODUCT((DA$3:DA$105=V67)*(DD$3:DD$105=V71)*DB$3:DB$105)+SUMPRODUCT((DA$3:DA$105=V68)*(DD$3:DD$105=V67)*DC$3:DC$105)+SUMPRODUCT((DA$3:DA$105=V69)*(DD$3:DD$105=V67)*DC$3:DC$105)+SUMPRODUCT((DA$3:DA$105=V70)*(DD$3:DD$105=V67)*DC$3:DC$105)+SUMPRODUCT((DA$3:DA$105=V71)*(DD$3:DD$105=V67)*DC$3:DC$105)</f>
        <v>0</v>
      </c>
      <c r="AA67" s="231">
        <f>SUMPRODUCT((DA$3:DA$105=V67)*(DD$3:DD$105=V68)*DC$3:DC$105)+SUMPRODUCT((DA$3:DA$105=V67)*(DD$3:DD$105=V69)*DC$3:DC$105)+SUMPRODUCT((DA$3:DA$105=V67)*(DD$3:DD$105=V70)*DC$3:DC$105)+SUMPRODUCT((DA$3:DA$105=V67)*(DD$3:DD$105=V71)*DC$3:DC$105)+SUMPRODUCT((DA$3:DA$105=V68)*(DD$3:DD$105=V67)*DB$3:DB$105)+SUMPRODUCT((DA$3:DA$105=V69)*(DD$3:DD$105=V67)*DB$3:DB$105)+SUMPRODUCT((DA$3:DA$105=V70)*(DD$3:DD$105=V67)*DB$3:DB$105)+SUMPRODUCT((DA$3:DA$105=V71)*(DD$3:DD$105=V67)*DB$3:DB$105)</f>
        <v>0</v>
      </c>
      <c r="AB67" s="231">
        <f>Z67-AA67+1000</f>
        <v>1000</v>
      </c>
      <c r="AC67" s="231">
        <f t="shared" ref="AC67:AC70" si="143">IF(V67&lt;&gt;"",W67*3+X67*1,"")</f>
        <v>0</v>
      </c>
      <c r="AD67" s="231">
        <f>IF(V67&lt;&gt;"",VLOOKUP(V67,C$4:I$70,7,FALSE),"")</f>
        <v>1000</v>
      </c>
      <c r="AE67" s="231">
        <f>IF(V67&lt;&gt;"",VLOOKUP(V67,C$4:I$70,5,FALSE),"")</f>
        <v>0</v>
      </c>
      <c r="AF67" s="231">
        <f>IF(V67&lt;&gt;"",VLOOKUP(V67,C$4:K$70,9,FALSE),"")</f>
        <v>-152</v>
      </c>
      <c r="AG67" s="231">
        <f t="shared" ref="AG67:AG70" si="144">AC67</f>
        <v>0</v>
      </c>
      <c r="AH67" s="231">
        <f>IF(V67&lt;&gt;"",RANK(AG67,AG$67:AG$70),"")</f>
        <v>1</v>
      </c>
      <c r="AI67" s="231">
        <f>IF(V67&lt;&gt;"",SUMPRODUCT((AG$67:AG$70=AG67)*(AB$67:AB$70&gt;AB67)),"")</f>
        <v>0</v>
      </c>
      <c r="AJ67" s="231">
        <f>IF(V67&lt;&gt;"",SUMPRODUCT((AG$67:AG$70=AG67)*(AB$67:AB$70=AB67)*(Z$67:Z$70&gt;Z67)),"")</f>
        <v>0</v>
      </c>
      <c r="AK67" s="231">
        <f>IF(V67&lt;&gt;"",SUMPRODUCT((AG$67:AG$70=AG67)*(AB$67:AB$70=AB67)*(Z$67:Z$70=Z67)*(AD$67:AD$70&gt;AD67)),"")</f>
        <v>0</v>
      </c>
      <c r="AL67" s="231">
        <f>IF(V67&lt;&gt;"",SUMPRODUCT((AG$67:AG$70=AG67)*(AB$67:AB$70=AB67)*(Z$67:Z$70=Z67)*(AD$67:AD$70=AD67)*(AE$67:AE$70&gt;AE67)),"")</f>
        <v>0</v>
      </c>
      <c r="AM67" s="231">
        <f>IF(V67&lt;&gt;"",SUMPRODUCT((AG$67:AG$70=AG67)*(AB$67:AB$70=AB67)*(Z$67:Z$70=Z67)*(AD$67:AD$70=AD67)*(AE$67:AE$70=AE67)*(AF$67:AF$70&gt;AF67)),"")</f>
        <v>3</v>
      </c>
      <c r="AN67" s="231">
        <f>IF(V67&lt;&gt;"",IF(AN146&lt;&gt;"",IF(U145=3,AN146,AN146+U145),SUM(AH67:AM67)),"")</f>
        <v>4</v>
      </c>
      <c r="AO67" s="231" t="str">
        <f>IF(V67&lt;&gt;"",INDEX(V$67:V$70,MATCH(1,AN$67:AN$70,0),0),"")</f>
        <v>Portugal</v>
      </c>
      <c r="CX67" s="231" t="str">
        <f>IF(AO67&lt;&gt;"",AO67,O67)</f>
        <v>Portugal</v>
      </c>
      <c r="CY67" s="231">
        <v>1</v>
      </c>
      <c r="DA67" s="234" t="str">
        <f>Matches!H68</f>
        <v>Cabo Verde</v>
      </c>
      <c r="DB67" s="234">
        <f>IF($DA$2&lt;&gt;"",IF(AND(Matches!J68&lt;&gt;"",Matches!K68&lt;&gt;""),Matches!J68,0),"")</f>
        <v>0</v>
      </c>
      <c r="DC67" s="234">
        <f>IF($DA$2&lt;&gt;"",IF(AND(Matches!J68&lt;&gt;"",Matches!K68&lt;&gt;""),Matches!K68,0),"")</f>
        <v>0</v>
      </c>
      <c r="DD67" s="234" t="str">
        <f>Matches!M68</f>
        <v>Saudi Arabia</v>
      </c>
      <c r="DE67" s="234" t="str">
        <f>IF(AND(Matches!J68&lt;&gt;"",Matches!K68&lt;&gt;""),IF(DB67&gt;DC67,"W",IF(DB67=DC67,"D","L")),"")</f>
        <v/>
      </c>
      <c r="DF67" s="231" t="str">
        <f t="shared" si="106"/>
        <v/>
      </c>
      <c r="DS67" s="233" t="str">
        <f>Matches!H88</f>
        <v>Group H Winner</v>
      </c>
      <c r="DU67" s="233" t="str">
        <f>IF(ISERROR("Calculator!"&amp;VLOOKUP(DS67,Calculator!$DS$7:$DT$54,2,FALSE)),"Calculator!dr77","Calculator!"&amp;VLOOKUP(DS67,Calculator!$DS$7:$DT$54,2,FALSE))</f>
        <v>Calculator!dr77</v>
      </c>
      <c r="DX67" s="230"/>
      <c r="DY67" s="243">
        <v>61</v>
      </c>
      <c r="DZ67" s="244">
        <f t="shared" si="14"/>
        <v>46199.625</v>
      </c>
      <c r="EA67" s="247">
        <v>46199.625</v>
      </c>
      <c r="EB67" s="246">
        <f t="shared" si="75"/>
        <v>46199.625</v>
      </c>
      <c r="EC67" s="247"/>
    </row>
    <row r="68" spans="1:133" x14ac:dyDescent="0.25">
      <c r="A68" s="230">
        <f>Setup!F49+100</f>
        <v>148</v>
      </c>
      <c r="B68" s="231">
        <f>VLOOKUP(C68,CX$67:CY$70,2,FALSE)</f>
        <v>3</v>
      </c>
      <c r="C68" s="232" t="str">
        <f t="shared" ref="C68:C70" si="145">EE48</f>
        <v>DR Congo</v>
      </c>
      <c r="D68" s="231">
        <f>SUMPRODUCT((DA$3:DA$105=C68)*(DE$3:DE$105="W"))+SUMPRODUCT((DD$3:DD$105=C68)*(DF$3:DF$105="W"))</f>
        <v>0</v>
      </c>
      <c r="E68" s="231">
        <f>SUMPRODUCT((DA$3:DA$105=C68)*(DE$3:DE$105="D"))+SUMPRODUCT((DD$3:DD$105=C68)*(DF$3:DF$105="D"))</f>
        <v>0</v>
      </c>
      <c r="F68" s="231">
        <f>SUMPRODUCT((DA$3:DA$105=C68)*(DE$3:DE$105="L"))+SUMPRODUCT((DD$3:DD$105=C68)*(DF$3:DF$105="L"))</f>
        <v>0</v>
      </c>
      <c r="G68" s="231">
        <f>SUMIF(DA$3:DA$123,C68,DB$3:DB$123)+SUMIF(DD$3:DD$123,C68,DC$3:DC$123)</f>
        <v>0</v>
      </c>
      <c r="H68" s="231">
        <f>SUMIF(DD$3:DD$123,C68,DB$3:DB$123)+SUMIF(DA$3:DA$123,C68,DC$3:DC$123)</f>
        <v>0</v>
      </c>
      <c r="I68" s="231">
        <f t="shared" si="141"/>
        <v>1000</v>
      </c>
      <c r="J68" s="231">
        <f t="shared" si="142"/>
        <v>0</v>
      </c>
      <c r="K68" s="231">
        <f>IF(Setup!G49&lt;&gt;"",Setup!G49,-A68)</f>
        <v>-148</v>
      </c>
      <c r="L68" s="231">
        <f>IF(COUNTIF(J$67:J$70,4)&lt;&gt;4,RANK(J68,J$67:J$70),J147)</f>
        <v>1</v>
      </c>
      <c r="N68" s="231">
        <f>SUMPRODUCT((L$67:L$70=L68)*(K$67:K$70&lt;K68))+L68</f>
        <v>2</v>
      </c>
      <c r="O68" s="232" t="str">
        <f>INDEX(C$67:C$70,MATCH(2,N$67:N$70,0),0)</f>
        <v>DR Congo</v>
      </c>
      <c r="P68" s="231">
        <f>INDEX(L$67:L$70,MATCH(O68,C$67:C$70,0),0)</f>
        <v>1</v>
      </c>
      <c r="Q68" s="231" t="str">
        <f>IF(Q67&lt;&gt;"",O68,"")</f>
        <v>DR Congo</v>
      </c>
      <c r="R68" s="231" t="str">
        <f>IF(R67&lt;&gt;"",O69,"")</f>
        <v/>
      </c>
      <c r="S68" s="231" t="str">
        <f>IF(S67&lt;&gt;"",O70,"")</f>
        <v/>
      </c>
      <c r="T68" s="231" t="str">
        <f>IF(T67&lt;&gt;"",O71,"")</f>
        <v/>
      </c>
      <c r="V68" s="231" t="str">
        <f t="shared" ref="V68:V70" si="146">IF(Q68&lt;&gt;"",Q68,"")</f>
        <v>DR Congo</v>
      </c>
      <c r="W68" s="231">
        <f>SUMPRODUCT((DA$3:DA$105=V68)*(DD$3:DD$105=V69)*(DE$3:DE$105="W"))+SUMPRODUCT((DA$3:DA$105=V68)*(DD$3:DD$105=V70)*(DE$3:DE$105="W"))+SUMPRODUCT((DA$3:DA$105=V68)*(DD$3:DD$105=V71)*(DE$3:DE$105="W"))+SUMPRODUCT((DA$3:DA$105=V68)*(DD$3:DD$105=V67)*(DE$3:DE$105="W"))+SUMPRODUCT((DA$3:DA$105=V69)*(DD$3:DD$105=V68)*(DF$3:DF$105="W"))+SUMPRODUCT((DA$3:DA$105=V70)*(DD$3:DD$105=V68)*(DF$3:DF$105="W"))+SUMPRODUCT((DA$3:DA$105=V71)*(DD$3:DD$105=V68)*(DF$3:DF$105="W"))+SUMPRODUCT((DA$3:DA$105=V67)*(DD$3:DD$105=V68)*(DF$3:DF$105="W"))</f>
        <v>0</v>
      </c>
      <c r="X68" s="231">
        <f>SUMPRODUCT((DA$3:DA$105=V68)*(DD$3:DD$105=V69)*(DE$3:DE$105="D"))+SUMPRODUCT((DA$3:DA$105=V68)*(DD$3:DD$105=V70)*(DE$3:DE$105="D"))+SUMPRODUCT((DA$3:DA$105=V68)*(DD$3:DD$105=V71)*(DE$3:DE$105="D"))+SUMPRODUCT((DA$3:DA$105=V68)*(DD$3:DD$105=V67)*(DE$3:DE$105="D"))+SUMPRODUCT((DA$3:DA$105=V69)*(DD$3:DD$105=V68)*(DE$3:DE$105="D"))+SUMPRODUCT((DA$3:DA$105=V70)*(DD$3:DD$105=V68)*(DE$3:DE$105="D"))+SUMPRODUCT((DA$3:DA$105=V71)*(DD$3:DD$105=V68)*(DE$3:DE$105="D"))+SUMPRODUCT((DA$3:DA$105=V67)*(DD$3:DD$105=V68)*(DE$3:DE$105="D"))</f>
        <v>0</v>
      </c>
      <c r="Y68" s="231">
        <f>SUMPRODUCT((DA$3:DA$105=V68)*(DD$3:DD$105=V69)*(DE$3:DE$105="L"))+SUMPRODUCT((DA$3:DA$105=V68)*(DD$3:DD$105=V70)*(DE$3:DE$105="L"))+SUMPRODUCT((DA$3:DA$105=V68)*(DD$3:DD$105=V71)*(DE$3:DE$105="L"))+SUMPRODUCT((DA$3:DA$105=V68)*(DD$3:DD$105=V67)*(DE$3:DE$105="L"))+SUMPRODUCT((DA$3:DA$105=V69)*(DD$3:DD$105=V68)*(DF$3:DF$105="L"))+SUMPRODUCT((DA$3:DA$105=V70)*(DD$3:DD$105=V68)*(DF$3:DF$105="L"))+SUMPRODUCT((DA$3:DA$105=V71)*(DD$3:DD$105=V68)*(DF$3:DF$105="L"))+SUMPRODUCT((DA$3:DA$105=V67)*(DD$3:DD$105=V68)*(DF$3:DF$105="L"))</f>
        <v>0</v>
      </c>
      <c r="Z68" s="231">
        <f>SUMPRODUCT((DA$3:DA$105=V68)*(DD$3:DD$105=V69)*DB$3:DB$105)+SUMPRODUCT((DA$3:DA$105=V68)*(DD$3:DD$105=V70)*DB$3:DB$105)+SUMPRODUCT((DA$3:DA$105=V68)*(DD$3:DD$105=V71)*DB$3:DB$105)+SUMPRODUCT((DA$3:DA$105=V68)*(DD$3:DD$105=V67)*DB$3:DB$105)+SUMPRODUCT((DA$3:DA$105=V69)*(DD$3:DD$105=V68)*DC$3:DC$105)+SUMPRODUCT((DA$3:DA$105=V70)*(DD$3:DD$105=V68)*DC$3:DC$105)+SUMPRODUCT((DA$3:DA$105=V71)*(DD$3:DD$105=V68)*DC$3:DC$105)+SUMPRODUCT((DA$3:DA$105=V67)*(DD$3:DD$105=V68)*DC$3:DC$105)</f>
        <v>0</v>
      </c>
      <c r="AA68" s="231">
        <f>SUMPRODUCT((DA$3:DA$105=V68)*(DD$3:DD$105=V69)*DC$3:DC$105)+SUMPRODUCT((DA$3:DA$105=V68)*(DD$3:DD$105=V70)*DC$3:DC$105)+SUMPRODUCT((DA$3:DA$105=V68)*(DD$3:DD$105=V71)*DC$3:DC$105)+SUMPRODUCT((DA$3:DA$105=V68)*(DD$3:DD$105=V67)*DC$3:DC$105)+SUMPRODUCT((DA$3:DA$105=V69)*(DD$3:DD$105=V68)*DB$3:DB$105)+SUMPRODUCT((DA$3:DA$105=V70)*(DD$3:DD$105=V68)*DB$3:DB$105)+SUMPRODUCT((DA$3:DA$105=V71)*(DD$3:DD$105=V68)*DB$3:DB$105)+SUMPRODUCT((DA$3:DA$105=V67)*(DD$3:DD$105=V68)*DB$3:DB$105)</f>
        <v>0</v>
      </c>
      <c r="AB68" s="231">
        <f>Z68-AA68+1000</f>
        <v>1000</v>
      </c>
      <c r="AC68" s="231">
        <f t="shared" si="143"/>
        <v>0</v>
      </c>
      <c r="AD68" s="231">
        <f>IF(V68&lt;&gt;"",VLOOKUP(V68,C$4:I$70,7,FALSE),"")</f>
        <v>1000</v>
      </c>
      <c r="AE68" s="231">
        <f>IF(V68&lt;&gt;"",VLOOKUP(V68,C$4:I$70,5,FALSE),"")</f>
        <v>0</v>
      </c>
      <c r="AF68" s="231">
        <f>IF(V68&lt;&gt;"",VLOOKUP(V68,C$4:K$70,9,FALSE),"")</f>
        <v>-148</v>
      </c>
      <c r="AG68" s="231">
        <f t="shared" si="144"/>
        <v>0</v>
      </c>
      <c r="AH68" s="231">
        <f>IF(V68&lt;&gt;"",RANK(AG68,AG$67:AG$70),"")</f>
        <v>1</v>
      </c>
      <c r="AI68" s="231">
        <f>IF(V68&lt;&gt;"",SUMPRODUCT((AG$67:AG$70=AG68)*(AB$67:AB$70&gt;AB68)),"")</f>
        <v>0</v>
      </c>
      <c r="AJ68" s="231">
        <f>IF(V68&lt;&gt;"",SUMPRODUCT((AG$67:AG$70=AG68)*(AB$67:AB$70=AB68)*(Z$67:Z$70&gt;Z68)),"")</f>
        <v>0</v>
      </c>
      <c r="AK68" s="231">
        <f>IF(V68&lt;&gt;"",SUMPRODUCT((AG$67:AG$70=AG68)*(AB$67:AB$70=AB68)*(Z$67:Z$70=Z68)*(AD$67:AD$70&gt;AD68)),"")</f>
        <v>0</v>
      </c>
      <c r="AL68" s="231">
        <f>IF(V68&lt;&gt;"",SUMPRODUCT((AG$67:AG$70=AG68)*(AB$67:AB$70=AB68)*(Z$67:Z$70=Z68)*(AD$67:AD$70=AD68)*(AE$67:AE$70&gt;AE68)),"")</f>
        <v>0</v>
      </c>
      <c r="AM68" s="231">
        <f>IF(V68&lt;&gt;"",SUMPRODUCT((AG$67:AG$70=AG68)*(AB$67:AB$70=AB68)*(Z$67:Z$70=Z68)*(AD$67:AD$70=AD68)*(AE$67:AE$70=AE68)*(AF$67:AF$70&gt;AF68)),"")</f>
        <v>2</v>
      </c>
      <c r="AN68" s="231">
        <f>IF(V68&lt;&gt;"",IF(AN147&lt;&gt;"",IF(U145=3,AN147,AN147+U145),SUM(AH68:AM68)),"")</f>
        <v>3</v>
      </c>
      <c r="AO68" s="231" t="str">
        <f>IF(V68&lt;&gt;"",INDEX(V$67:V$70,MATCH(2,AN$67:AN$70,0),0),"")</f>
        <v>Colombia</v>
      </c>
      <c r="AP68" s="231" t="str">
        <f>IF(R67&lt;&gt;"",R67,"")</f>
        <v/>
      </c>
      <c r="AQ68" s="231">
        <f>SUMPRODUCT((DA$3:DA$105=AP68)*(DD$3:DD$105=AP69)*(DE$3:DE$105="W"))+SUMPRODUCT((DA$3:DA$105=AP68)*(DD$3:DD$105=AP70)*(DE$3:DE$105="W"))+SUMPRODUCT((DA$3:DA$105=AP68)*(DD$3:DD$105=AP71)*(DE$3:DE$105="W"))+SUMPRODUCT((DA$3:DA$105=AP69)*(DD$3:DD$105=AP68)*(DF$3:DF$105="W"))+SUMPRODUCT((DA$3:DA$105=AP70)*(DD$3:DD$105=AP68)*(DF$3:DF$105="W"))+SUMPRODUCT((DA$3:DA$105=AP71)*(DD$3:DD$105=AP68)*(DF$3:DF$105="W"))</f>
        <v>0</v>
      </c>
      <c r="AR68" s="231">
        <f>SUMPRODUCT((DA$3:DA$105=AP68)*(DD$3:DD$105=AP69)*(DE$3:DE$105="D"))+SUMPRODUCT((DA$3:DA$105=AP68)*(DD$3:DD$105=AP70)*(DE$3:DE$105="D"))+SUMPRODUCT((DA$3:DA$105=AP68)*(DD$3:DD$105=AP71)*(DE$3:DE$105="D"))+SUMPRODUCT((DA$3:DA$105=AP69)*(DD$3:DD$105=AP68)*(DE$3:DE$105="D"))+SUMPRODUCT((DA$3:DA$105=AP70)*(DD$3:DD$105=AP68)*(DE$3:DE$105="D"))+SUMPRODUCT((DA$3:DA$105=AP71)*(DD$3:DD$105=AP68)*(DE$3:DE$105="D"))</f>
        <v>0</v>
      </c>
      <c r="AS68" s="231">
        <f>SUMPRODUCT((DA$3:DA$105=AP68)*(DD$3:DD$105=AP69)*(DE$3:DE$105="L"))+SUMPRODUCT((DA$3:DA$105=AP68)*(DD$3:DD$105=AP70)*(DE$3:DE$105="L"))+SUMPRODUCT((DA$3:DA$105=AP68)*(DD$3:DD$105=AP71)*(DE$3:DE$105="L"))+SUMPRODUCT((DA$3:DA$105=AP69)*(DD$3:DD$105=AP68)*(DF$3:DF$105="L"))+SUMPRODUCT((DA$3:DA$105=AP70)*(DD$3:DD$105=AP68)*(DF$3:DF$105="L"))+SUMPRODUCT((DA$3:DA$105=AP71)*(DD$3:DD$105=AP68)*(DF$3:DF$105="L"))</f>
        <v>0</v>
      </c>
      <c r="AT68" s="231">
        <f>SUMPRODUCT((DA$3:DA$105=AP68)*(DD$3:DD$105=AP69)*DB$3:DB$105)+SUMPRODUCT((DA$3:DA$105=AP68)*(DD$3:DD$105=AP70)*DB$3:DB$105)+SUMPRODUCT((DA$3:DA$105=AP68)*(DD$3:DD$105=AP71)*DB$3:DB$105)+SUMPRODUCT((DA$3:DA$105=AP68)*(DD$3:DD$105=AP67)*DB$3:DB$105)+SUMPRODUCT((DA$3:DA$105=AP69)*(DD$3:DD$105=AP68)*DC$3:DC$105)+SUMPRODUCT((DA$3:DA$105=AP70)*(DD$3:DD$105=AP68)*DC$3:DC$105)+SUMPRODUCT((DA$3:DA$105=AP71)*(DD$3:DD$105=AP68)*DC$3:DC$105)+SUMPRODUCT((DA$3:DA$105=AP67)*(DD$3:DD$105=AP68)*DC$3:DC$105)</f>
        <v>0</v>
      </c>
      <c r="AU68" s="231">
        <f>SUMPRODUCT((DA$3:DA$105=AP68)*(DD$3:DD$105=AP69)*DC$3:DC$105)+SUMPRODUCT((DA$3:DA$105=AP68)*(DD$3:DD$105=AP70)*DC$3:DC$105)+SUMPRODUCT((DA$3:DA$105=AP68)*(DD$3:DD$105=AP71)*DC$3:DC$105)+SUMPRODUCT((DA$3:DA$105=AP68)*(DD$3:DD$105=AP67)*DC$3:DC$105)+SUMPRODUCT((DA$3:DA$105=AP69)*(DD$3:DD$105=AP68)*DB$3:DB$105)+SUMPRODUCT((DA$3:DA$105=AP70)*(DD$3:DD$105=AP68)*DB$3:DB$105)+SUMPRODUCT((DA$3:DA$105=AP71)*(DD$3:DD$105=AP68)*DB$3:DB$105)+SUMPRODUCT((DA$3:DA$105=AP67)*(DD$3:DD$105=AP68)*DB$3:DB$105)</f>
        <v>0</v>
      </c>
      <c r="AV68" s="231">
        <f>AT68-AU68+1000</f>
        <v>1000</v>
      </c>
      <c r="AW68" s="231" t="str">
        <f t="shared" ref="AW68:AW70" si="147">IF(AP68&lt;&gt;"",AQ68*3+AR68*1,"")</f>
        <v/>
      </c>
      <c r="AX68" s="231" t="str">
        <f>IF(AP68&lt;&gt;"",VLOOKUP(AP68,C$4:I$70,7,FALSE),"")</f>
        <v/>
      </c>
      <c r="AY68" s="231" t="str">
        <f>IF(AP68&lt;&gt;"",VLOOKUP(AP68,C$4:I$70,5,FALSE),"")</f>
        <v/>
      </c>
      <c r="AZ68" s="231" t="str">
        <f>IF(AP68&lt;&gt;"",VLOOKUP(AP68,C$4:K$70,9,FALSE),"")</f>
        <v/>
      </c>
      <c r="BA68" s="231" t="str">
        <f t="shared" ref="BA68:BA70" si="148">AW68</f>
        <v/>
      </c>
      <c r="BB68" s="231" t="str">
        <f>IF(AP68&lt;&gt;"",RANK(BA68,BA$67:BA$70),"")</f>
        <v/>
      </c>
      <c r="BC68" s="231" t="str">
        <f>IF(AP68&lt;&gt;"",SUMPRODUCT((BA$67:BA$70=BA68)*(AV$67:AV$70&gt;AV68)),"")</f>
        <v/>
      </c>
      <c r="BD68" s="231" t="str">
        <f>IF(AP68&lt;&gt;"",SUMPRODUCT((BA$67:BA$70=BA68)*(AV$67:AV$70=AV68)*(AT$67:AT$70&gt;AT68)),"")</f>
        <v/>
      </c>
      <c r="BE68" s="231" t="str">
        <f>IF(AP68&lt;&gt;"",SUMPRODUCT((BA$67:BA$70=BA68)*(AV$67:AV$70=AV68)*(AT$67:AT$70=AT68)*(AX$67:AX$70&gt;AX68)),"")</f>
        <v/>
      </c>
      <c r="BF68" s="231" t="str">
        <f>IF(AP68&lt;&gt;"",SUMPRODUCT((BA$67:BA$70=BA68)*(AV$67:AV$70=AV68)*(AT$67:AT$70=AT68)*(AX$67:AX$70=AX68)*(AY$67:AY$70&gt;AY68)),"")</f>
        <v/>
      </c>
      <c r="BG68" s="231" t="str">
        <f>IF(AP68&lt;&gt;"",SUMPRODUCT((BA$67:BA$70=BA68)*(AV$67:AV$70=AV68)*(AT$67:AT$70=AT68)*(AX$67:AX$70=AX68)*(AY$67:AY$70=AY68)*(AZ$67:AZ$70&gt;AZ68)),"")</f>
        <v/>
      </c>
      <c r="BH68" s="231" t="str">
        <f>IF(AP68&lt;&gt;"",IF(BH147&lt;&gt;"",IF(AO$145=3,BH147,BH147+AO145),SUM(BB68:BG68)+1),"")</f>
        <v/>
      </c>
      <c r="BI68" s="231" t="str">
        <f>IF(AP68&lt;&gt;"",INDEX(AP$68:AP$71,MATCH(2,BH$68:BH$71,0),0),"")</f>
        <v/>
      </c>
      <c r="CX68" s="231" t="str">
        <f>IF(BI68&lt;&gt;"",BI68,IF(AO68&lt;&gt;"",AO68,O68))</f>
        <v>Colombia</v>
      </c>
      <c r="CY68" s="231">
        <v>2</v>
      </c>
      <c r="DA68" s="234" t="str">
        <f>Matches!H69</f>
        <v>Uruguay</v>
      </c>
      <c r="DB68" s="234">
        <f>IF($DA$2&lt;&gt;"",IF(AND(Matches!J69&lt;&gt;"",Matches!K69&lt;&gt;""),Matches!J69,0),"")</f>
        <v>0</v>
      </c>
      <c r="DC68" s="234">
        <f>IF($DA$2&lt;&gt;"",IF(AND(Matches!J69&lt;&gt;"",Matches!K69&lt;&gt;""),Matches!K69,0),"")</f>
        <v>0</v>
      </c>
      <c r="DD68" s="234" t="str">
        <f>Matches!M69</f>
        <v>Spain</v>
      </c>
      <c r="DE68" s="234" t="str">
        <f>IF(AND(Matches!J69&lt;&gt;"",Matches!K69&lt;&gt;""),IF(DB68&gt;DC68,"W",IF(DB68=DC68,"D","L")),"")</f>
        <v/>
      </c>
      <c r="DF68" s="231" t="str">
        <f t="shared" si="106"/>
        <v/>
      </c>
      <c r="DS68" s="233" t="str">
        <f>Matches!H89</f>
        <v>Group B Winner</v>
      </c>
      <c r="DU68" s="233" t="str">
        <f>IF(ISERROR("Calculator!"&amp;VLOOKUP(DS68,Calculator!$DS$7:$DT$54,2,FALSE)),"Calculator!dr77","Calculator!"&amp;VLOOKUP(DS68,Calculator!$DS$7:$DT$54,2,FALSE))</f>
        <v>Calculator!dr77</v>
      </c>
      <c r="DX68" s="230"/>
      <c r="DY68" s="243">
        <v>62</v>
      </c>
      <c r="DZ68" s="244">
        <f t="shared" si="14"/>
        <v>46199.625</v>
      </c>
      <c r="EA68" s="247">
        <v>46199.625</v>
      </c>
      <c r="EB68" s="246">
        <f t="shared" si="75"/>
        <v>46199.625</v>
      </c>
      <c r="EC68" s="247"/>
    </row>
    <row r="69" spans="1:133" x14ac:dyDescent="0.25">
      <c r="A69" s="230">
        <f>Setup!F50+100</f>
        <v>152</v>
      </c>
      <c r="B69" s="231">
        <f>VLOOKUP(C69,CX$67:CY$70,2,FALSE)</f>
        <v>4</v>
      </c>
      <c r="C69" s="232" t="str">
        <f t="shared" si="145"/>
        <v>Uzbekistan</v>
      </c>
      <c r="D69" s="231">
        <f>SUMPRODUCT((DA$3:DA$105=C69)*(DE$3:DE$105="W"))+SUMPRODUCT((DD$3:DD$105=C69)*(DF$3:DF$105="W"))</f>
        <v>0</v>
      </c>
      <c r="E69" s="231">
        <f>SUMPRODUCT((DA$3:DA$105=C69)*(DE$3:DE$105="D"))+SUMPRODUCT((DD$3:DD$105=C69)*(DF$3:DF$105="D"))</f>
        <v>0</v>
      </c>
      <c r="F69" s="231">
        <f>SUMPRODUCT((DA$3:DA$105=C69)*(DE$3:DE$105="L"))+SUMPRODUCT((DD$3:DD$105=C69)*(DF$3:DF$105="L"))</f>
        <v>0</v>
      </c>
      <c r="G69" s="231">
        <f>SUMIF(DA$3:DA$123,C69,DB$3:DB$123)+SUMIF(DD$3:DD$123,C69,DC$3:DC$123)</f>
        <v>0</v>
      </c>
      <c r="H69" s="231">
        <f>SUMIF(DD$3:DD$123,C69,DB$3:DB$123)+SUMIF(DA$3:DA$123,C69,DC$3:DC$123)</f>
        <v>0</v>
      </c>
      <c r="I69" s="231">
        <f t="shared" si="141"/>
        <v>1000</v>
      </c>
      <c r="J69" s="231">
        <f t="shared" si="142"/>
        <v>0</v>
      </c>
      <c r="K69" s="231">
        <f>IF(Setup!G50&lt;&gt;"",Setup!G50,-A69)</f>
        <v>-152</v>
      </c>
      <c r="L69" s="231">
        <f>IF(COUNTIF(J$67:J$70,4)&lt;&gt;4,RANK(J69,J$67:J$70),J148)</f>
        <v>1</v>
      </c>
      <c r="N69" s="231">
        <f>SUMPRODUCT((L$67:L$70=L69)*(K$67:K$70&lt;K69))+L69</f>
        <v>1</v>
      </c>
      <c r="O69" s="232" t="str">
        <f>INDEX(C$67:C$70,MATCH(3,N$67:N$70,0),0)</f>
        <v>Colombia</v>
      </c>
      <c r="P69" s="231">
        <f>INDEX(L$67:L$70,MATCH(O69,C$67:C$70,0),0)</f>
        <v>1</v>
      </c>
      <c r="Q69" s="231" t="str">
        <f>IF(AND(Q68&lt;&gt;"",P69=1),O69,"")</f>
        <v>Colombia</v>
      </c>
      <c r="R69" s="231" t="str">
        <f>IF(AND(R68&lt;&gt;"",P70=2),O70,"")</f>
        <v/>
      </c>
      <c r="S69" s="231" t="str">
        <f>IF(AND(S68&lt;&gt;"",P71=3),O71,"")</f>
        <v/>
      </c>
      <c r="V69" s="231" t="str">
        <f t="shared" si="146"/>
        <v>Colombia</v>
      </c>
      <c r="W69" s="231">
        <f>SUMPRODUCT((DA$3:DA$105=V69)*(DD$3:DD$105=V70)*(DE$3:DE$105="W"))+SUMPRODUCT((DA$3:DA$105=V69)*(DD$3:DD$105=V71)*(DE$3:DE$105="W"))+SUMPRODUCT((DA$3:DA$105=V69)*(DD$3:DD$105=V67)*(DE$3:DE$105="W"))+SUMPRODUCT((DA$3:DA$105=V69)*(DD$3:DD$105=V68)*(DE$3:DE$105="W"))+SUMPRODUCT((DA$3:DA$105=V70)*(DD$3:DD$105=V69)*(DF$3:DF$105="W"))+SUMPRODUCT((DA$3:DA$105=V71)*(DD$3:DD$105=V69)*(DF$3:DF$105="W"))+SUMPRODUCT((DA$3:DA$105=V67)*(DD$3:DD$105=V69)*(DF$3:DF$105="W"))+SUMPRODUCT((DA$3:DA$105=V68)*(DD$3:DD$105=V69)*(DF$3:DF$105="W"))</f>
        <v>0</v>
      </c>
      <c r="X69" s="231">
        <f>SUMPRODUCT((DA$3:DA$105=V69)*(DD$3:DD$105=V70)*(DE$3:DE$105="D"))+SUMPRODUCT((DA$3:DA$105=V69)*(DD$3:DD$105=V71)*(DE$3:DE$105="D"))+SUMPRODUCT((DA$3:DA$105=V69)*(DD$3:DD$105=V67)*(DE$3:DE$105="D"))+SUMPRODUCT((DA$3:DA$105=V69)*(DD$3:DD$105=V68)*(DE$3:DE$105="D"))+SUMPRODUCT((DA$3:DA$105=V70)*(DD$3:DD$105=V69)*(DE$3:DE$105="D"))+SUMPRODUCT((DA$3:DA$105=V71)*(DD$3:DD$105=V69)*(DE$3:DE$105="D"))+SUMPRODUCT((DA$3:DA$105=V67)*(DD$3:DD$105=V69)*(DE$3:DE$105="D"))+SUMPRODUCT((DA$3:DA$105=V68)*(DD$3:DD$105=V69)*(DE$3:DE$105="D"))</f>
        <v>0</v>
      </c>
      <c r="Y69" s="231">
        <f>SUMPRODUCT((DA$3:DA$105=V69)*(DD$3:DD$105=V70)*(DE$3:DE$105="L"))+SUMPRODUCT((DA$3:DA$105=V69)*(DD$3:DD$105=V71)*(DE$3:DE$105="L"))+SUMPRODUCT((DA$3:DA$105=V69)*(DD$3:DD$105=V67)*(DE$3:DE$105="L"))+SUMPRODUCT((DA$3:DA$105=V69)*(DD$3:DD$105=V68)*(DE$3:DE$105="L"))+SUMPRODUCT((DA$3:DA$105=V70)*(DD$3:DD$105=V69)*(DF$3:DF$105="L"))+SUMPRODUCT((DA$3:DA$105=V71)*(DD$3:DD$105=V69)*(DF$3:DF$105="L"))+SUMPRODUCT((DA$3:DA$105=V67)*(DD$3:DD$105=V69)*(DF$3:DF$105="L"))+SUMPRODUCT((DA$3:DA$105=V68)*(DD$3:DD$105=V69)*(DF$3:DF$105="L"))</f>
        <v>0</v>
      </c>
      <c r="Z69" s="231">
        <f>SUMPRODUCT((DA$3:DA$105=V69)*(DD$3:DD$105=V70)*DB$3:DB$105)+SUMPRODUCT((DA$3:DA$105=V69)*(DD$3:DD$105=V71)*DB$3:DB$105)+SUMPRODUCT((DA$3:DA$105=V69)*(DD$3:DD$105=V67)*DB$3:DB$105)+SUMPRODUCT((DA$3:DA$105=V69)*(DD$3:DD$105=V68)*DB$3:DB$105)+SUMPRODUCT((DA$3:DA$105=V70)*(DD$3:DD$105=V69)*DC$3:DC$105)+SUMPRODUCT((DA$3:DA$105=V71)*(DD$3:DD$105=V69)*DC$3:DC$105)+SUMPRODUCT((DA$3:DA$105=V67)*(DD$3:DD$105=V69)*DC$3:DC$105)+SUMPRODUCT((DA$3:DA$105=V68)*(DD$3:DD$105=V69)*DC$3:DC$105)</f>
        <v>0</v>
      </c>
      <c r="AA69" s="231">
        <f>SUMPRODUCT((DA$3:DA$105=V69)*(DD$3:DD$105=V70)*DC$3:DC$105)+SUMPRODUCT((DA$3:DA$105=V69)*(DD$3:DD$105=V71)*DC$3:DC$105)+SUMPRODUCT((DA$3:DA$105=V69)*(DD$3:DD$105=V67)*DC$3:DC$105)+SUMPRODUCT((DA$3:DA$105=V69)*(DD$3:DD$105=V68)*DC$3:DC$105)+SUMPRODUCT((DA$3:DA$105=V70)*(DD$3:DD$105=V69)*DB$3:DB$105)+SUMPRODUCT((DA$3:DA$105=V71)*(DD$3:DD$105=V69)*DB$3:DB$105)+SUMPRODUCT((DA$3:DA$105=V67)*(DD$3:DD$105=V69)*DB$3:DB$105)+SUMPRODUCT((DA$3:DA$105=V68)*(DD$3:DD$105=V69)*DB$3:DB$105)</f>
        <v>0</v>
      </c>
      <c r="AB69" s="231">
        <f>Z69-AA69+1000</f>
        <v>1000</v>
      </c>
      <c r="AC69" s="231">
        <f t="shared" si="143"/>
        <v>0</v>
      </c>
      <c r="AD69" s="231">
        <f>IF(V69&lt;&gt;"",VLOOKUP(V69,C$4:I$70,7,FALSE),"")</f>
        <v>1000</v>
      </c>
      <c r="AE69" s="231">
        <f>IF(V69&lt;&gt;"",VLOOKUP(V69,C$4:I$70,5,FALSE),"")</f>
        <v>0</v>
      </c>
      <c r="AF69" s="231">
        <f>IF(V69&lt;&gt;"",VLOOKUP(V69,C$4:K$70,9,FALSE),"")</f>
        <v>-114</v>
      </c>
      <c r="AG69" s="231">
        <f t="shared" si="144"/>
        <v>0</v>
      </c>
      <c r="AH69" s="231">
        <f>IF(V69&lt;&gt;"",RANK(AG69,AG$67:AG$70),"")</f>
        <v>1</v>
      </c>
      <c r="AI69" s="231">
        <f>IF(V69&lt;&gt;"",SUMPRODUCT((AG$67:AG$70=AG69)*(AB$67:AB$70&gt;AB69)),"")</f>
        <v>0</v>
      </c>
      <c r="AJ69" s="231">
        <f>IF(V69&lt;&gt;"",SUMPRODUCT((AG$67:AG$70=AG69)*(AB$67:AB$70=AB69)*(Z$67:Z$70&gt;Z69)),"")</f>
        <v>0</v>
      </c>
      <c r="AK69" s="231">
        <f>IF(V69&lt;&gt;"",SUMPRODUCT((AG$67:AG$70=AG69)*(AB$67:AB$70=AB69)*(Z$67:Z$70=Z69)*(AD$67:AD$70&gt;AD69)),"")</f>
        <v>0</v>
      </c>
      <c r="AL69" s="231">
        <f>IF(V69&lt;&gt;"",SUMPRODUCT((AG$67:AG$70=AG69)*(AB$67:AB$70=AB69)*(Z$67:Z$70=Z69)*(AD$67:AD$70=AD69)*(AE$67:AE$70&gt;AE69)),"")</f>
        <v>0</v>
      </c>
      <c r="AM69" s="231">
        <f>IF(V69&lt;&gt;"",SUMPRODUCT((AG$67:AG$70=AG69)*(AB$67:AB$70=AB69)*(Z$67:Z$70=Z69)*(AD$67:AD$70=AD69)*(AE$67:AE$70=AE69)*(AF$67:AF$70&gt;AF69)),"")</f>
        <v>1</v>
      </c>
      <c r="AN69" s="231">
        <f>IF(V69&lt;&gt;"",IF(AN148&lt;&gt;"",IF(U145=3,AN148,AN148+U145),SUM(AH69:AM69)),"")</f>
        <v>2</v>
      </c>
      <c r="AO69" s="231" t="str">
        <f>IF(V69&lt;&gt;"",INDEX(V$67:V$70,MATCH(3,AN$67:AN$70,0),0),"")</f>
        <v>DR Congo</v>
      </c>
      <c r="AP69" s="231" t="str">
        <f>IF(R68&lt;&gt;"",R68,"")</f>
        <v/>
      </c>
      <c r="AQ69" s="231">
        <f>SUMPRODUCT((DA$3:DA$105=AP69)*(DD$3:DD$105=AP70)*(DE$3:DE$105="W"))+SUMPRODUCT((DA$3:DA$105=AP69)*(DD$3:DD$105=AP71)*(DE$3:DE$105="W"))+SUMPRODUCT((DA$3:DA$105=AP69)*(DD$3:DD$105=AP68)*(DE$3:DE$105="W"))+SUMPRODUCT((DA$3:DA$105=AP70)*(DD$3:DD$105=AP69)*(DF$3:DF$105="W"))+SUMPRODUCT((DA$3:DA$105=AP71)*(DD$3:DD$105=AP69)*(DF$3:DF$105="W"))+SUMPRODUCT((DA$3:DA$105=AP68)*(DD$3:DD$105=AP69)*(DF$3:DF$105="W"))</f>
        <v>0</v>
      </c>
      <c r="AR69" s="231">
        <f>SUMPRODUCT((DA$3:DA$105=AP69)*(DD$3:DD$105=AP70)*(DE$3:DE$105="D"))+SUMPRODUCT((DA$3:DA$105=AP69)*(DD$3:DD$105=AP71)*(DE$3:DE$105="D"))+SUMPRODUCT((DA$3:DA$105=AP69)*(DD$3:DD$105=AP68)*(DE$3:DE$105="D"))+SUMPRODUCT((DA$3:DA$105=AP70)*(DD$3:DD$105=AP69)*(DE$3:DE$105="D"))+SUMPRODUCT((DA$3:DA$105=AP71)*(DD$3:DD$105=AP69)*(DE$3:DE$105="D"))+SUMPRODUCT((DA$3:DA$105=AP68)*(DD$3:DD$105=AP69)*(DE$3:DE$105="D"))</f>
        <v>0</v>
      </c>
      <c r="AS69" s="231">
        <f>SUMPRODUCT((DA$3:DA$105=AP69)*(DD$3:DD$105=AP70)*(DE$3:DE$105="L"))+SUMPRODUCT((DA$3:DA$105=AP69)*(DD$3:DD$105=AP71)*(DE$3:DE$105="L"))+SUMPRODUCT((DA$3:DA$105=AP69)*(DD$3:DD$105=AP68)*(DE$3:DE$105="L"))+SUMPRODUCT((DA$3:DA$105=AP70)*(DD$3:DD$105=AP69)*(DF$3:DF$105="L"))+SUMPRODUCT((DA$3:DA$105=AP71)*(DD$3:DD$105=AP69)*(DF$3:DF$105="L"))+SUMPRODUCT((DA$3:DA$105=AP68)*(DD$3:DD$105=AP69)*(DF$3:DF$105="L"))</f>
        <v>0</v>
      </c>
      <c r="AT69" s="231">
        <f>SUMPRODUCT((DA$3:DA$105=AP69)*(DD$3:DD$105=AP70)*DB$3:DB$105)+SUMPRODUCT((DA$3:DA$105=AP69)*(DD$3:DD$105=AP71)*DB$3:DB$105)+SUMPRODUCT((DA$3:DA$105=AP69)*(DD$3:DD$105=AP67)*DB$3:DB$105)+SUMPRODUCT((DA$3:DA$105=AP69)*(DD$3:DD$105=AP68)*DB$3:DB$105)+SUMPRODUCT((DA$3:DA$105=AP70)*(DD$3:DD$105=AP69)*DC$3:DC$105)+SUMPRODUCT((DA$3:DA$105=AP71)*(DD$3:DD$105=AP69)*DC$3:DC$105)+SUMPRODUCT((DA$3:DA$105=AP67)*(DD$3:DD$105=AP69)*DC$3:DC$105)+SUMPRODUCT((DA$3:DA$105=AP68)*(DD$3:DD$105=AP69)*DC$3:DC$105)</f>
        <v>0</v>
      </c>
      <c r="AU69" s="231">
        <f>SUMPRODUCT((DA$3:DA$105=AP69)*(DD$3:DD$105=AP70)*DC$3:DC$105)+SUMPRODUCT((DA$3:DA$105=AP69)*(DD$3:DD$105=AP71)*DC$3:DC$105)+SUMPRODUCT((DA$3:DA$105=AP69)*(DD$3:DD$105=AP67)*DC$3:DC$105)+SUMPRODUCT((DA$3:DA$105=AP69)*(DD$3:DD$105=AP68)*DC$3:DC$105)+SUMPRODUCT((DA$3:DA$105=AP70)*(DD$3:DD$105=AP69)*DB$3:DB$105)+SUMPRODUCT((DA$3:DA$105=AP71)*(DD$3:DD$105=AP69)*DB$3:DB$105)+SUMPRODUCT((DA$3:DA$105=AP67)*(DD$3:DD$105=AP69)*DB$3:DB$105)+SUMPRODUCT((DA$3:DA$105=AP68)*(DD$3:DD$105=AP69)*DB$3:DB$105)</f>
        <v>0</v>
      </c>
      <c r="AV69" s="231">
        <f>AT69-AU69+1000</f>
        <v>1000</v>
      </c>
      <c r="AW69" s="231" t="str">
        <f t="shared" si="147"/>
        <v/>
      </c>
      <c r="AX69" s="231" t="str">
        <f>IF(AP69&lt;&gt;"",VLOOKUP(AP69,C$4:I$70,7,FALSE),"")</f>
        <v/>
      </c>
      <c r="AY69" s="231" t="str">
        <f>IF(AP69&lt;&gt;"",VLOOKUP(AP69,C$4:I$70,5,FALSE),"")</f>
        <v/>
      </c>
      <c r="AZ69" s="231" t="str">
        <f>IF(AP69&lt;&gt;"",VLOOKUP(AP69,C$4:K$70,9,FALSE),"")</f>
        <v/>
      </c>
      <c r="BA69" s="231" t="str">
        <f t="shared" si="148"/>
        <v/>
      </c>
      <c r="BB69" s="231" t="str">
        <f>IF(AP69&lt;&gt;"",RANK(BA69,BA$67:BA$70),"")</f>
        <v/>
      </c>
      <c r="BC69" s="231" t="str">
        <f>IF(AP69&lt;&gt;"",SUMPRODUCT((BA$67:BA$70=BA69)*(AV$67:AV$70&gt;AV69)),"")</f>
        <v/>
      </c>
      <c r="BD69" s="231" t="str">
        <f>IF(AP69&lt;&gt;"",SUMPRODUCT((BA$67:BA$70=BA69)*(AV$67:AV$70=AV69)*(AT$67:AT$70&gt;AT69)),"")</f>
        <v/>
      </c>
      <c r="BE69" s="231" t="str">
        <f>IF(AP69&lt;&gt;"",SUMPRODUCT((BA$67:BA$70=BA69)*(AV$67:AV$70=AV69)*(AT$67:AT$70=AT69)*(AX$67:AX$70&gt;AX69)),"")</f>
        <v/>
      </c>
      <c r="BF69" s="231" t="str">
        <f>IF(AP69&lt;&gt;"",SUMPRODUCT((BA$67:BA$70=BA69)*(AV$67:AV$70=AV69)*(AT$67:AT$70=AT69)*(AX$67:AX$70=AX69)*(AY$67:AY$70&gt;AY69)),"")</f>
        <v/>
      </c>
      <c r="BG69" s="231" t="str">
        <f>IF(AP69&lt;&gt;"",SUMPRODUCT((BA$67:BA$70=BA69)*(AV$67:AV$70=AV69)*(AT$67:AT$70=AT69)*(AX$67:AX$70=AX69)*(AY$67:AY$70=AY69)*(AZ$67:AZ$70&gt;AZ69)),"")</f>
        <v/>
      </c>
      <c r="BH69" s="231" t="str">
        <f>IF(AP69&lt;&gt;"",IF(BH148&lt;&gt;"",IF(AO$145=3,BH148,BH148+AO145),SUM(BB69:BG69)+1),"")</f>
        <v/>
      </c>
      <c r="BI69" s="231" t="str">
        <f>IF(AP69&lt;&gt;"",INDEX(AP$68:AP$71,MATCH(3,BH$68:BH$71,0),0),"")</f>
        <v/>
      </c>
      <c r="BJ69" s="231" t="str">
        <f>IF(S67&lt;&gt;"",S67,"")</f>
        <v/>
      </c>
      <c r="BK69" s="231">
        <f>SUMPRODUCT((DA$3:DA$105=BJ69)*(DD$3:DD$105=BJ70)*(DE$3:DE$105="W"))+SUMPRODUCT((DA$3:DA$105=BJ69)*(DD$3:DD$105=BJ71)*(DE$3:DE$105="W"))+SUMPRODUCT((DA$3:DA$105=BJ69)*(DD$3:DD$105=BJ111)*(DE$3:DE$105="W"))+SUMPRODUCT((DA$3:DA$105=BJ70)*(DD$3:DD$105=BJ69)*(DF$3:DF$105="W"))+SUMPRODUCT((DA$3:DA$105=BJ71)*(DD$3:DD$105=BJ69)*(DF$3:DF$105="W"))+SUMPRODUCT((DA$3:DA$105=BJ111)*(DD$3:DD$105=BJ69)*(DF$3:DF$105="W"))</f>
        <v>0</v>
      </c>
      <c r="BL69" s="231">
        <f>SUMPRODUCT((DA$3:DA$105=BJ69)*(DD$3:DD$105=BJ70)*(DE$3:DE$105="D"))+SUMPRODUCT((DA$3:DA$105=BJ69)*(DD$3:DD$105=BJ71)*(DE$3:DE$105="D"))+SUMPRODUCT((DA$3:DA$105=BJ69)*(DD$3:DD$105=BJ111)*(DE$3:DE$105="D"))+SUMPRODUCT((DA$3:DA$105=BJ70)*(DD$3:DD$105=BJ69)*(DE$3:DE$105="D"))+SUMPRODUCT((DA$3:DA$105=BJ71)*(DD$3:DD$105=BJ69)*(DE$3:DE$105="D"))+SUMPRODUCT((DA$3:DA$105=BJ111)*(DD$3:DD$105=BJ69)*(DE$3:DE$105="D"))</f>
        <v>0</v>
      </c>
      <c r="BM69" s="231">
        <f>SUMPRODUCT((DA$3:DA$105=BJ69)*(DD$3:DD$105=BJ70)*(DE$3:DE$105="L"))+SUMPRODUCT((DA$3:DA$105=BJ69)*(DD$3:DD$105=BJ71)*(DE$3:DE$105="L"))+SUMPRODUCT((DA$3:DA$105=BJ69)*(DD$3:DD$105=BJ111)*(DE$3:DE$105="L"))+SUMPRODUCT((DA$3:DA$105=BJ70)*(DD$3:DD$105=BJ69)*(DF$3:DF$105="L"))+SUMPRODUCT((DA$3:DA$105=BJ71)*(DD$3:DD$105=BJ69)*(DF$3:DF$105="L"))+SUMPRODUCT((DA$3:DA$105=BJ111)*(DD$3:DD$105=BJ69)*(DF$3:DF$105="L"))</f>
        <v>0</v>
      </c>
      <c r="BN69" s="231">
        <f>SUMPRODUCT((DA$3:DA$105=BJ69)*(DD$3:DD$105=BJ70)*DB$3:DB$105)+SUMPRODUCT((DA$3:DA$105=BJ69)*(DD$3:DD$105=BJ71)*DB$3:DB$105)+SUMPRODUCT((DA$3:DA$105=BJ69)*(DD$3:DD$105=BJ67)*DB$3:DB$105)+SUMPRODUCT((DA$3:DA$105=BJ69)*(DD$3:DD$105=BJ68)*DB$3:DB$105)+SUMPRODUCT((DA$3:DA$105=BJ70)*(DD$3:DD$105=BJ69)*DC$3:DC$105)+SUMPRODUCT((DA$3:DA$105=BJ71)*(DD$3:DD$105=BJ69)*DC$3:DC$105)+SUMPRODUCT((DA$3:DA$105=BJ67)*(DD$3:DD$105=BJ69)*DC$3:DC$105)+SUMPRODUCT((DA$3:DA$105=BJ68)*(DD$3:DD$105=BJ69)*DC$3:DC$105)</f>
        <v>0</v>
      </c>
      <c r="BO69" s="231">
        <f>SUMPRODUCT((DA$3:DA$105=BJ69)*(DD$3:DD$105=BJ70)*DC$3:DC$105)+SUMPRODUCT((DA$3:DA$105=BJ69)*(DD$3:DD$105=BJ71)*DC$3:DC$105)+SUMPRODUCT((DA$3:DA$105=BJ69)*(DD$3:DD$105=BJ67)*DC$3:DC$105)+SUMPRODUCT((DA$3:DA$105=BJ69)*(DD$3:DD$105=BJ68)*DC$3:DC$105)+SUMPRODUCT((DA$3:DA$105=BJ70)*(DD$3:DD$105=BJ69)*DB$3:DB$105)+SUMPRODUCT((DA$3:DA$105=BJ71)*(DD$3:DD$105=BJ69)*DB$3:DB$105)+SUMPRODUCT((DA$3:DA$105=BJ67)*(DD$3:DD$105=BJ69)*DB$3:DB$105)+SUMPRODUCT((DA$3:DA$105=BJ68)*(DD$3:DD$105=BJ69)*DB$3:DB$105)</f>
        <v>0</v>
      </c>
      <c r="BP69" s="231">
        <f>BN69-BO69+1000</f>
        <v>1000</v>
      </c>
      <c r="BQ69" s="231" t="str">
        <f t="shared" ref="BQ69:BQ70" si="149">IF(BJ69&lt;&gt;"",BK69*3+BL69*1,"")</f>
        <v/>
      </c>
      <c r="BR69" s="231" t="str">
        <f>IF(BJ69&lt;&gt;"",VLOOKUP(BJ69,C$4:I$70,7,FALSE),"")</f>
        <v/>
      </c>
      <c r="BS69" s="231" t="str">
        <f>IF(BJ69&lt;&gt;"",VLOOKUP(BJ69,C$4:I$70,5,FALSE),"")</f>
        <v/>
      </c>
      <c r="BT69" s="231" t="str">
        <f>IF(BJ69&lt;&gt;"",VLOOKUP(BJ69,C$4:K$70,9,FALSE),"")</f>
        <v/>
      </c>
      <c r="BU69" s="231" t="str">
        <f t="shared" ref="BU69:BU70" si="150">BQ69</f>
        <v/>
      </c>
      <c r="BV69" s="231" t="str">
        <f>IF(BJ69&lt;&gt;"",RANK(BU69,BU$68:BU$70),"")</f>
        <v/>
      </c>
      <c r="BW69" s="231" t="str">
        <f>IF(BJ69&lt;&gt;"",SUMPRODUCT((BU$67:BU$70=BU69)*(BP$67:BP$70&gt;BP69)),"")</f>
        <v/>
      </c>
      <c r="BX69" s="231" t="str">
        <f>IF(BJ69&lt;&gt;"",SUMPRODUCT((BU$67:BU$70=BU69)*(BP$67:BP$70=BP69)*(BN$67:BN$70&gt;BN69)),"")</f>
        <v/>
      </c>
      <c r="BY69" s="231" t="str">
        <f>IF(BJ69&lt;&gt;"",SUMPRODUCT((BU$67:BU$70=BU69)*(BP$67:BP$70=BP69)*(BN$67:BN$70=BN69)*(BR$67:BR$70&gt;BR69)),"")</f>
        <v/>
      </c>
      <c r="BZ69" s="231" t="str">
        <f>IF(BJ69&lt;&gt;"",SUMPRODUCT((BU$67:BU$70=BU69)*(BP$67:BP$70=BP69)*(BN$67:BN$70=BN69)*(BR$67:BR$70=BR69)*(BS$67:BS$70&gt;BS69)),"")</f>
        <v/>
      </c>
      <c r="CA69" s="231" t="str">
        <f>IF(BJ69&lt;&gt;"",SUMPRODUCT((BU$67:BU$70=BU69)*(BP$67:BP$70=BP69)*(BN$67:BN$70=BN69)*(BR$67:BR$70=BR69)*(BS$67:BS$70=BS69)*(BT$67:BT$70&gt;BT69)),"")</f>
        <v/>
      </c>
      <c r="CB69" s="231" t="str">
        <f>IF(BJ69&lt;&gt;"",SUM(BV69:CA69)+2,"")</f>
        <v/>
      </c>
      <c r="CC69" s="231" t="str">
        <f>IF(BJ69&lt;&gt;"",INDEX(BJ$69:BJ$71,MATCH(3,CB$69:CB$71,0),0),"")</f>
        <v/>
      </c>
      <c r="CX69" s="231" t="str">
        <f>IF(CC69&lt;&gt;"",CC69,IF(BI69&lt;&gt;"",BI69,IF(AO69&lt;&gt;"",AO69,O69)))</f>
        <v>DR Congo</v>
      </c>
      <c r="CY69" s="231">
        <v>3</v>
      </c>
      <c r="DA69" s="234" t="str">
        <f>Matches!H70</f>
        <v>Panama</v>
      </c>
      <c r="DB69" s="234">
        <f>IF($DA$2&lt;&gt;"",IF(AND(Matches!J70&lt;&gt;"",Matches!K70&lt;&gt;""),Matches!J70,0),"")</f>
        <v>0</v>
      </c>
      <c r="DC69" s="234">
        <f>IF($DA$2&lt;&gt;"",IF(AND(Matches!J70&lt;&gt;"",Matches!K70&lt;&gt;""),Matches!K70,0),"")</f>
        <v>0</v>
      </c>
      <c r="DD69" s="234" t="str">
        <f>Matches!M70</f>
        <v>England</v>
      </c>
      <c r="DE69" s="234" t="str">
        <f>IF(AND(Matches!J70&lt;&gt;"",Matches!K70&lt;&gt;""),IF(DB69&gt;DC69,"W",IF(DB69=DC69,"D","L")),"")</f>
        <v/>
      </c>
      <c r="DF69" s="231" t="str">
        <f t="shared" si="106"/>
        <v/>
      </c>
      <c r="DS69" s="233" t="str">
        <f>Matches!H90</f>
        <v>Group J Winner</v>
      </c>
      <c r="DU69" s="233" t="str">
        <f>IF(ISERROR("Calculator!"&amp;VLOOKUP(DS69,Calculator!$DS$7:$DT$54,2,FALSE)),"Calculator!dr77","Calculator!"&amp;VLOOKUP(DS69,Calculator!$DS$7:$DT$54,2,FALSE))</f>
        <v>Calculator!dr77</v>
      </c>
      <c r="DX69" s="230"/>
      <c r="DY69" s="243">
        <v>63</v>
      </c>
      <c r="DZ69" s="244">
        <f t="shared" si="14"/>
        <v>46199.958333333336</v>
      </c>
      <c r="EA69" s="247">
        <v>46199.958333333336</v>
      </c>
      <c r="EB69" s="246">
        <f t="shared" si="75"/>
        <v>46199.958333333336</v>
      </c>
      <c r="EC69" s="247"/>
    </row>
    <row r="70" spans="1:133" x14ac:dyDescent="0.25">
      <c r="A70" s="230">
        <f>Setup!F51+100</f>
        <v>114</v>
      </c>
      <c r="B70" s="231">
        <f>VLOOKUP(C70,CX$67:CY$70,2,FALSE)</f>
        <v>2</v>
      </c>
      <c r="C70" s="232" t="str">
        <f t="shared" si="145"/>
        <v>Colombia</v>
      </c>
      <c r="D70" s="231">
        <f>SUMPRODUCT((DA$3:DA$105=C70)*(DE$3:DE$105="W"))+SUMPRODUCT((DD$3:DD$105=C70)*(DF$3:DF$105="W"))</f>
        <v>0</v>
      </c>
      <c r="E70" s="231">
        <f>SUMPRODUCT((DA$3:DA$105=C70)*(DE$3:DE$105="D"))+SUMPRODUCT((DD$3:DD$105=C70)*(DF$3:DF$105="D"))</f>
        <v>0</v>
      </c>
      <c r="F70" s="231">
        <f>SUMPRODUCT((DA$3:DA$105=C70)*(DE$3:DE$105="L"))+SUMPRODUCT((DD$3:DD$105=C70)*(DF$3:DF$105="L"))</f>
        <v>0</v>
      </c>
      <c r="G70" s="231">
        <f>SUMIF(DA$3:DA$123,C70,DB$3:DB$123)+SUMIF(DD$3:DD$123,C70,DC$3:DC$123)</f>
        <v>0</v>
      </c>
      <c r="H70" s="231">
        <f>SUMIF(DD$3:DD$123,C70,DB$3:DB$123)+SUMIF(DA$3:DA$123,C70,DC$3:DC$123)</f>
        <v>0</v>
      </c>
      <c r="I70" s="231">
        <f t="shared" si="141"/>
        <v>1000</v>
      </c>
      <c r="J70" s="231">
        <f t="shared" si="142"/>
        <v>0</v>
      </c>
      <c r="K70" s="231">
        <f>IF(Setup!G51&lt;&gt;"",Setup!G51,-A70)</f>
        <v>-114</v>
      </c>
      <c r="L70" s="231">
        <f>IF(COUNTIF(J$67:J$70,4)&lt;&gt;4,RANK(J70,J$67:J$70),J149)</f>
        <v>1</v>
      </c>
      <c r="N70" s="231">
        <f>SUMPRODUCT((L$67:L$70=L70)*(K$67:K$70&lt;K70))+L70</f>
        <v>3</v>
      </c>
      <c r="O70" s="232" t="str">
        <f>INDEX(C$67:C$70,MATCH(4,N$67:N$70,0),0)</f>
        <v>Portugal</v>
      </c>
      <c r="P70" s="231">
        <f>INDEX(L$67:L$70,MATCH(O70,C$67:C$70,0),0)</f>
        <v>1</v>
      </c>
      <c r="Q70" s="231" t="str">
        <f>IF(AND(Q69&lt;&gt;"",P70=1),O70,"")</f>
        <v>Portugal</v>
      </c>
      <c r="R70" s="231" t="str">
        <f>IF(AND(R69&lt;&gt;"",P71=2),O71,"")</f>
        <v/>
      </c>
      <c r="V70" s="231" t="str">
        <f t="shared" si="146"/>
        <v>Portugal</v>
      </c>
      <c r="W70" s="231">
        <f>SUMPRODUCT((DA$3:DA$105=V70)*(DD$3:DD$105=V71)*(DE$3:DE$105="W"))+SUMPRODUCT((DA$3:DA$105=V70)*(DD$3:DD$105=V67)*(DE$3:DE$105="W"))+SUMPRODUCT((DA$3:DA$105=V70)*(DD$3:DD$105=V68)*(DE$3:DE$105="W"))+SUMPRODUCT((DA$3:DA$105=V70)*(DD$3:DD$105=V69)*(DE$3:DE$105="W"))+SUMPRODUCT((DA$3:DA$105=V71)*(DD$3:DD$105=V70)*(DF$3:DF$105="W"))+SUMPRODUCT((DA$3:DA$105=V67)*(DD$3:DD$105=V70)*(DF$3:DF$105="W"))+SUMPRODUCT((DA$3:DA$105=V68)*(DD$3:DD$105=V70)*(DF$3:DF$105="W"))+SUMPRODUCT((DA$3:DA$105=V69)*(DD$3:DD$105=V70)*(DF$3:DF$105="W"))</f>
        <v>0</v>
      </c>
      <c r="X70" s="231">
        <f>SUMPRODUCT((DA$3:DA$105=V70)*(DD$3:DD$105=V71)*(DE$3:DE$105="D"))+SUMPRODUCT((DA$3:DA$105=V70)*(DD$3:DD$105=V67)*(DE$3:DE$105="D"))+SUMPRODUCT((DA$3:DA$105=V70)*(DD$3:DD$105=V68)*(DE$3:DE$105="D"))+SUMPRODUCT((DA$3:DA$105=V70)*(DD$3:DD$105=V69)*(DE$3:DE$105="D"))+SUMPRODUCT((DA$3:DA$105=V71)*(DD$3:DD$105=V70)*(DE$3:DE$105="D"))+SUMPRODUCT((DA$3:DA$105=V67)*(DD$3:DD$105=V70)*(DE$3:DE$105="D"))+SUMPRODUCT((DA$3:DA$105=V68)*(DD$3:DD$105=V70)*(DE$3:DE$105="D"))+SUMPRODUCT((DA$3:DA$105=V69)*(DD$3:DD$105=V70)*(DE$3:DE$105="D"))</f>
        <v>0</v>
      </c>
      <c r="Y70" s="231">
        <f>SUMPRODUCT((DA$3:DA$105=V70)*(DD$3:DD$105=V71)*(DE$3:DE$105="L"))+SUMPRODUCT((DA$3:DA$105=V70)*(DD$3:DD$105=V67)*(DE$3:DE$105="L"))+SUMPRODUCT((DA$3:DA$105=V70)*(DD$3:DD$105=V68)*(DE$3:DE$105="L"))+SUMPRODUCT((DA$3:DA$105=V70)*(DD$3:DD$105=V69)*(DE$3:DE$105="L"))+SUMPRODUCT((DA$3:DA$105=V71)*(DD$3:DD$105=V70)*(DF$3:DF$105="L"))+SUMPRODUCT((DA$3:DA$105=V67)*(DD$3:DD$105=V70)*(DF$3:DF$105="L"))+SUMPRODUCT((DA$3:DA$105=V68)*(DD$3:DD$105=V70)*(DF$3:DF$105="L"))+SUMPRODUCT((DA$3:DA$105=V69)*(DD$3:DD$105=V70)*(DF$3:DF$105="L"))</f>
        <v>0</v>
      </c>
      <c r="Z70" s="231">
        <f>SUMPRODUCT((DA$3:DA$105=V70)*(DD$3:DD$105=V71)*DB$3:DB$105)+SUMPRODUCT((DA$3:DA$105=V70)*(DD$3:DD$105=V67)*DB$3:DB$105)+SUMPRODUCT((DA$3:DA$105=V70)*(DD$3:DD$105=V68)*DB$3:DB$105)+SUMPRODUCT((DA$3:DA$105=V70)*(DD$3:DD$105=V69)*DB$3:DB$105)+SUMPRODUCT((DA$3:DA$105=V71)*(DD$3:DD$105=V70)*DC$3:DC$105)+SUMPRODUCT((DA$3:DA$105=V67)*(DD$3:DD$105=V70)*DC$3:DC$105)+SUMPRODUCT((DA$3:DA$105=V68)*(DD$3:DD$105=V70)*DC$3:DC$105)+SUMPRODUCT((DA$3:DA$105=V69)*(DD$3:DD$105=V70)*DC$3:DC$105)</f>
        <v>0</v>
      </c>
      <c r="AA70" s="231">
        <f>SUMPRODUCT((DA$3:DA$105=V70)*(DD$3:DD$105=V71)*DC$3:DC$105)+SUMPRODUCT((DA$3:DA$105=V70)*(DD$3:DD$105=V67)*DC$3:DC$105)+SUMPRODUCT((DA$3:DA$105=V70)*(DD$3:DD$105=V68)*DC$3:DC$105)+SUMPRODUCT((DA$3:DA$105=V70)*(DD$3:DD$105=V69)*DC$3:DC$105)+SUMPRODUCT((DA$3:DA$105=V71)*(DD$3:DD$105=V70)*DB$3:DB$105)+SUMPRODUCT((DA$3:DA$105=V67)*(DD$3:DD$105=V70)*DB$3:DB$105)+SUMPRODUCT((DA$3:DA$105=V68)*(DD$3:DD$105=V70)*DB$3:DB$105)+SUMPRODUCT((DA$3:DA$105=V69)*(DD$3:DD$105=V70)*DB$3:DB$105)</f>
        <v>0</v>
      </c>
      <c r="AB70" s="231">
        <f>Z70-AA70+1000</f>
        <v>1000</v>
      </c>
      <c r="AC70" s="231">
        <f t="shared" si="143"/>
        <v>0</v>
      </c>
      <c r="AD70" s="231">
        <f>IF(V70&lt;&gt;"",VLOOKUP(V70,C$4:I$70,7,FALSE),"")</f>
        <v>1000</v>
      </c>
      <c r="AE70" s="231">
        <f>IF(V70&lt;&gt;"",VLOOKUP(V70,C$4:I$70,5,FALSE),"")</f>
        <v>0</v>
      </c>
      <c r="AF70" s="231">
        <f>IF(V70&lt;&gt;"",VLOOKUP(V70,C$4:K$70,9,FALSE),"")</f>
        <v>-106</v>
      </c>
      <c r="AG70" s="231">
        <f t="shared" si="144"/>
        <v>0</v>
      </c>
      <c r="AH70" s="231">
        <f>IF(V70&lt;&gt;"",RANK(AG70,AG$67:AG$70),"")</f>
        <v>1</v>
      </c>
      <c r="AI70" s="231">
        <f>IF(V70&lt;&gt;"",SUMPRODUCT((AG$67:AG$70=AG70)*(AB$67:AB$70&gt;AB70)),"")</f>
        <v>0</v>
      </c>
      <c r="AJ70" s="231">
        <f>IF(V70&lt;&gt;"",SUMPRODUCT((AG$67:AG$70=AG70)*(AB$67:AB$70=AB70)*(Z$67:Z$70&gt;Z70)),"")</f>
        <v>0</v>
      </c>
      <c r="AK70" s="231">
        <f>IF(V70&lt;&gt;"",SUMPRODUCT((AG$67:AG$70=AG70)*(AB$67:AB$70=AB70)*(Z$67:Z$70=Z70)*(AD$67:AD$70&gt;AD70)),"")</f>
        <v>0</v>
      </c>
      <c r="AL70" s="231">
        <f>IF(V70&lt;&gt;"",SUMPRODUCT((AG$67:AG$70=AG70)*(AB$67:AB$70=AB70)*(Z$67:Z$70=Z70)*(AD$67:AD$70=AD70)*(AE$67:AE$70&gt;AE70)),"")</f>
        <v>0</v>
      </c>
      <c r="AM70" s="231">
        <f>IF(V70&lt;&gt;"",SUMPRODUCT((AG$67:AG$70=AG70)*(AB$67:AB$70=AB70)*(Z$67:Z$70=Z70)*(AD$67:AD$70=AD70)*(AE$67:AE$70=AE70)*(AF$67:AF$70&gt;AF70)),"")</f>
        <v>0</v>
      </c>
      <c r="AN70" s="231">
        <f>IF(V70&lt;&gt;"",IF(AN149&lt;&gt;"",IF(U145=3,AN149,AN149+U145),SUM(AH70:AM70)),"")</f>
        <v>1</v>
      </c>
      <c r="AO70" s="231" t="str">
        <f>IF(V70&lt;&gt;"",INDEX(V$67:V$70,MATCH(4,AN$67:AN$70,0),0),"")</f>
        <v>Uzbekistan</v>
      </c>
      <c r="AP70" s="231" t="str">
        <f>IF(R69&lt;&gt;"",R69,"")</f>
        <v/>
      </c>
      <c r="AQ70" s="231" t="str">
        <f>IF(AP70&lt;&gt;"",SUMPRODUCT((DA$3:DA$105=AP70)*(DD$3:DD$105=AP71)*(DE$3:DE$105="W"))+SUMPRODUCT((DA$3:DA$105=AP70)*(DD$3:DD$105=AP68)*(DE$3:DE$105="W"))+SUMPRODUCT((DA$3:DA$105=AP70)*(DD$3:DD$105=AP69)*(DE$3:DE$105="W"))+SUMPRODUCT((DA$3:DA$105=AP71)*(DD$3:DD$105=AP70)*(DF$3:DF$105="W"))+SUMPRODUCT((DA$3:DA$105=AP68)*(DD$3:DD$105=AP70)*(DF$3:DF$105="W"))+SUMPRODUCT((DA$3:DA$105=AP69)*(DD$3:DD$105=AP70)*(DF$3:DF$105="W")),"")</f>
        <v/>
      </c>
      <c r="AR70" s="231" t="str">
        <f>IF(AP70&lt;&gt;"",SUMPRODUCT((DA$3:DA$105=AP70)*(DD$3:DD$105=AP71)*(DE$3:DE$105="D"))+SUMPRODUCT((DA$3:DA$105=AP70)*(DD$3:DD$105=AP68)*(DE$3:DE$105="D"))+SUMPRODUCT((DA$3:DA$105=AP70)*(DD$3:DD$105=AP69)*(DE$3:DE$105="D"))+SUMPRODUCT((DA$3:DA$105=AP71)*(DD$3:DD$105=AP70)*(DE$3:DE$105="D"))+SUMPRODUCT((DA$3:DA$105=AP68)*(DD$3:DD$105=AP70)*(DE$3:DE$105="D"))+SUMPRODUCT((DA$3:DA$105=AP69)*(DD$3:DD$105=AP70)*(DE$3:DE$105="D")),"")</f>
        <v/>
      </c>
      <c r="AS70" s="231" t="str">
        <f>IF(AP70&lt;&gt;"",SUMPRODUCT((DA$3:DA$105=AP70)*(DD$3:DD$105=AP71)*(DE$3:DE$105="L"))+SUMPRODUCT((DA$3:DA$105=AP70)*(DD$3:DD$105=AP68)*(DE$3:DE$105="L"))+SUMPRODUCT((DA$3:DA$105=AP70)*(DD$3:DD$105=AP69)*(DE$3:DE$105="L"))+SUMPRODUCT((DA$3:DA$105=AP71)*(DD$3:DD$105=AP70)*(DF$3:DF$105="L"))+SUMPRODUCT((DA$3:DA$105=AP68)*(DD$3:DD$105=AP70)*(DF$3:DF$105="L"))+SUMPRODUCT((DA$3:DA$105=AP69)*(DD$3:DD$105=AP70)*(DF$3:DF$105="L")),"")</f>
        <v/>
      </c>
      <c r="AT70" s="231">
        <f>SUMPRODUCT((DA$3:DA$105=AP70)*(DD$3:DD$105=AP71)*DB$3:DB$105)+SUMPRODUCT((DA$3:DA$105=AP70)*(DD$3:DD$105=AP67)*DB$3:DB$105)+SUMPRODUCT((DA$3:DA$105=AP70)*(DD$3:DD$105=AP68)*DB$3:DB$105)+SUMPRODUCT((DA$3:DA$105=AP70)*(DD$3:DD$105=AP69)*DB$3:DB$105)+SUMPRODUCT((DA$3:DA$105=AP71)*(DD$3:DD$105=AP70)*DC$3:DC$105)+SUMPRODUCT((DA$3:DA$105=AP67)*(DD$3:DD$105=AP70)*DC$3:DC$105)+SUMPRODUCT((DA$3:DA$105=AP68)*(DD$3:DD$105=AP70)*DC$3:DC$105)+SUMPRODUCT((DA$3:DA$105=AP69)*(DD$3:DD$105=AP70)*DC$3:DC$105)</f>
        <v>0</v>
      </c>
      <c r="AU70" s="231">
        <f>SUMPRODUCT((DA$3:DA$105=AP70)*(DD$3:DD$105=AP71)*DC$3:DC$105)+SUMPRODUCT((DA$3:DA$105=AP70)*(DD$3:DD$105=AP67)*DC$3:DC$105)+SUMPRODUCT((DA$3:DA$105=AP70)*(DD$3:DD$105=AP68)*DC$3:DC$105)+SUMPRODUCT((DA$3:DA$105=AP70)*(DD$3:DD$105=AP69)*DC$3:DC$105)+SUMPRODUCT((DA$3:DA$105=AP71)*(DD$3:DD$105=AP70)*DB$3:DB$105)+SUMPRODUCT((DA$3:DA$105=AP67)*(DD$3:DD$105=AP70)*DB$3:DB$105)+SUMPRODUCT((DA$3:DA$105=AP68)*(DD$3:DD$105=AP70)*DB$3:DB$105)+SUMPRODUCT((DA$3:DA$105=AP69)*(DD$3:DD$105=AP70)*DB$3:DB$105)</f>
        <v>0</v>
      </c>
      <c r="AV70" s="231">
        <f>AT70-AU70+1000</f>
        <v>1000</v>
      </c>
      <c r="AW70" s="231" t="str">
        <f t="shared" si="147"/>
        <v/>
      </c>
      <c r="AX70" s="231" t="str">
        <f>IF(AP70&lt;&gt;"",VLOOKUP(AP70,C$4:I$70,7,FALSE),"")</f>
        <v/>
      </c>
      <c r="AY70" s="231" t="str">
        <f>IF(AP70&lt;&gt;"",VLOOKUP(AP70,C$4:I$70,5,FALSE),"")</f>
        <v/>
      </c>
      <c r="AZ70" s="231" t="str">
        <f>IF(AP70&lt;&gt;"",VLOOKUP(AP70,C$4:K$70,9,FALSE),"")</f>
        <v/>
      </c>
      <c r="BA70" s="231" t="str">
        <f t="shared" si="148"/>
        <v/>
      </c>
      <c r="BB70" s="231" t="str">
        <f>IF(AP70&lt;&gt;"",RANK(BA70,BA$67:BA$70),"")</f>
        <v/>
      </c>
      <c r="BC70" s="231" t="str">
        <f>IF(AP70&lt;&gt;"",SUMPRODUCT((BA$67:BA$70=BA70)*(AV$67:AV$70&gt;AV70)),"")</f>
        <v/>
      </c>
      <c r="BD70" s="231" t="str">
        <f>IF(AP70&lt;&gt;"",SUMPRODUCT((BA$67:BA$70=BA70)*(AV$67:AV$70=AV70)*(AT$67:AT$70&gt;AT70)),"")</f>
        <v/>
      </c>
      <c r="BE70" s="231" t="str">
        <f>IF(AP70&lt;&gt;"",SUMPRODUCT((BA$67:BA$70=BA70)*(AV$67:AV$70=AV70)*(AT$67:AT$70=AT70)*(AX$67:AX$70&gt;AX70)),"")</f>
        <v/>
      </c>
      <c r="BF70" s="231" t="str">
        <f>IF(AP70&lt;&gt;"",SUMPRODUCT((BA$67:BA$70=BA70)*(AV$67:AV$70=AV70)*(AT$67:AT$70=AT70)*(AX$67:AX$70=AX70)*(AY$67:AY$70&gt;AY70)),"")</f>
        <v/>
      </c>
      <c r="BG70" s="231" t="str">
        <f>IF(AP70&lt;&gt;"",SUMPRODUCT((BA$67:BA$70=BA70)*(AV$67:AV$70=AV70)*(AT$67:AT$70=AT70)*(AX$67:AX$70=AX70)*(AY$67:AY$70=AY70)*(AZ$67:AZ$70&gt;AZ70)),"")</f>
        <v/>
      </c>
      <c r="BH70" s="231" t="str">
        <f>IF(AP70&lt;&gt;"",IF(BH149&lt;&gt;"",IF(AO$145=3,BH149,BH149+AO145),SUM(BB70:BG70)+1),"")</f>
        <v/>
      </c>
      <c r="BI70" s="231" t="str">
        <f>IF(AP70&lt;&gt;"",INDEX(AP$68:AP$71,MATCH(4,BH$68:BH$71,0),0),"")</f>
        <v/>
      </c>
      <c r="BJ70" s="231" t="str">
        <f>IF(S68&lt;&gt;"",S68,"")</f>
        <v/>
      </c>
      <c r="BK70" s="231">
        <f>SUMPRODUCT((DA$3:DA$105=BJ70)*(DD$3:DD$105=BJ71)*(DE$3:DE$105="W"))+SUMPRODUCT((DA$3:DA$105=BJ70)*(DD$3:DD$105=BJ111)*(DE$3:DE$105="W"))+SUMPRODUCT((DA$3:DA$105=BJ70)*(DD$3:DD$105=BJ69)*(DE$3:DE$105="W"))+SUMPRODUCT((DA$3:DA$105=BJ71)*(DD$3:DD$105=BJ70)*(DF$3:DF$105="W"))+SUMPRODUCT((DA$3:DA$105=BJ111)*(DD$3:DD$105=BJ70)*(DF$3:DF$105="W"))+SUMPRODUCT((DA$3:DA$105=BJ69)*(DD$3:DD$105=BJ70)*(DF$3:DF$105="W"))</f>
        <v>0</v>
      </c>
      <c r="BL70" s="231">
        <f>SUMPRODUCT((DA$3:DA$105=BJ70)*(DD$3:DD$105=BJ71)*(DE$3:DE$105="D"))+SUMPRODUCT((DA$3:DA$105=BJ70)*(DD$3:DD$105=BJ111)*(DE$3:DE$105="D"))+SUMPRODUCT((DA$3:DA$105=BJ70)*(DD$3:DD$105=BJ69)*(DE$3:DE$105="D"))+SUMPRODUCT((DA$3:DA$105=BJ71)*(DD$3:DD$105=BJ70)*(DE$3:DE$105="D"))+SUMPRODUCT((DA$3:DA$105=BJ111)*(DD$3:DD$105=BJ70)*(DE$3:DE$105="D"))+SUMPRODUCT((DA$3:DA$105=BJ69)*(DD$3:DD$105=BJ70)*(DE$3:DE$105="D"))</f>
        <v>0</v>
      </c>
      <c r="BM70" s="231">
        <f>SUMPRODUCT((DA$3:DA$105=BJ70)*(DD$3:DD$105=BJ71)*(DE$3:DE$105="L"))+SUMPRODUCT((DA$3:DA$105=BJ70)*(DD$3:DD$105=BJ111)*(DE$3:DE$105="L"))+SUMPRODUCT((DA$3:DA$105=BJ70)*(DD$3:DD$105=BJ69)*(DE$3:DE$105="L"))+SUMPRODUCT((DA$3:DA$105=BJ71)*(DD$3:DD$105=BJ70)*(DF$3:DF$105="L"))+SUMPRODUCT((DA$3:DA$105=BJ111)*(DD$3:DD$105=BJ70)*(DF$3:DF$105="L"))+SUMPRODUCT((DA$3:DA$105=BJ69)*(DD$3:DD$105=BJ70)*(DF$3:DF$105="L"))</f>
        <v>0</v>
      </c>
      <c r="BN70" s="231">
        <f>SUMPRODUCT((DA$3:DA$105=BJ70)*(DD$3:DD$105=BJ71)*DB$3:DB$105)+SUMPRODUCT((DA$3:DA$105=BJ70)*(DD$3:DD$105=BJ67)*DB$3:DB$105)+SUMPRODUCT((DA$3:DA$105=BJ70)*(DD$3:DD$105=BJ68)*DB$3:DB$105)+SUMPRODUCT((DA$3:DA$105=BJ70)*(DD$3:DD$105=BJ69)*DB$3:DB$105)+SUMPRODUCT((DA$3:DA$105=BJ71)*(DD$3:DD$105=BJ70)*DC$3:DC$105)+SUMPRODUCT((DA$3:DA$105=BJ67)*(DD$3:DD$105=BJ70)*DC$3:DC$105)+SUMPRODUCT((DA$3:DA$105=BJ68)*(DD$3:DD$105=BJ70)*DC$3:DC$105)+SUMPRODUCT((DA$3:DA$105=BJ69)*(DD$3:DD$105=BJ70)*DC$3:DC$105)</f>
        <v>0</v>
      </c>
      <c r="BO70" s="231">
        <f>SUMPRODUCT((DA$3:DA$105=BJ70)*(DD$3:DD$105=BJ71)*DC$3:DC$105)+SUMPRODUCT((DA$3:DA$105=BJ70)*(DD$3:DD$105=BJ67)*DC$3:DC$105)+SUMPRODUCT((DA$3:DA$105=BJ70)*(DD$3:DD$105=BJ68)*DC$3:DC$105)+SUMPRODUCT((DA$3:DA$105=BJ70)*(DD$3:DD$105=BJ69)*DC$3:DC$105)+SUMPRODUCT((DA$3:DA$105=BJ71)*(DD$3:DD$105=BJ70)*DB$3:DB$105)+SUMPRODUCT((DA$3:DA$105=BJ67)*(DD$3:DD$105=BJ70)*DB$3:DB$105)+SUMPRODUCT((DA$3:DA$105=BJ68)*(DD$3:DD$105=BJ70)*DB$3:DB$105)+SUMPRODUCT((DA$3:DA$105=BJ69)*(DD$3:DD$105=BJ70)*DB$3:DB$105)</f>
        <v>0</v>
      </c>
      <c r="BP70" s="231">
        <f>BN70-BO70+1000</f>
        <v>1000</v>
      </c>
      <c r="BQ70" s="231" t="str">
        <f t="shared" si="149"/>
        <v/>
      </c>
      <c r="BR70" s="231" t="str">
        <f>IF(BJ70&lt;&gt;"",VLOOKUP(BJ70,C$4:I$70,7,FALSE),"")</f>
        <v/>
      </c>
      <c r="BS70" s="231" t="str">
        <f>IF(BJ70&lt;&gt;"",VLOOKUP(BJ70,C$4:I$70,5,FALSE),"")</f>
        <v/>
      </c>
      <c r="BT70" s="231" t="str">
        <f>IF(BJ70&lt;&gt;"",VLOOKUP(BJ70,C$4:K$70,9,FALSE),"")</f>
        <v/>
      </c>
      <c r="BU70" s="231" t="str">
        <f t="shared" si="150"/>
        <v/>
      </c>
      <c r="BV70" s="231" t="str">
        <f>IF(BJ70&lt;&gt;"",RANK(BU70,BU$68:BU$70),"")</f>
        <v/>
      </c>
      <c r="BW70" s="231" t="str">
        <f>IF(BJ70&lt;&gt;"",SUMPRODUCT((BU$67:BU$70=BU70)*(BP$67:BP$70&gt;BP70)),"")</f>
        <v/>
      </c>
      <c r="BX70" s="231" t="str">
        <f>IF(BJ70&lt;&gt;"",SUMPRODUCT((BU$67:BU$70=BU70)*(BP$67:BP$70=BP70)*(BN$67:BN$70&gt;BN70)),"")</f>
        <v/>
      </c>
      <c r="BY70" s="231" t="str">
        <f>IF(BJ70&lt;&gt;"",SUMPRODUCT((BU$67:BU$70=BU70)*(BP$67:BP$70=BP70)*(BN$67:BN$70=BN70)*(BR$67:BR$70&gt;BR70)),"")</f>
        <v/>
      </c>
      <c r="BZ70" s="231" t="str">
        <f>IF(BJ70&lt;&gt;"",SUMPRODUCT((BU$67:BU$70=BU70)*(BP$67:BP$70=BP70)*(BN$67:BN$70=BN70)*(BR$67:BR$70=BR70)*(BS$67:BS$70&gt;BS70)),"")</f>
        <v/>
      </c>
      <c r="CA70" s="231" t="str">
        <f>IF(BJ70&lt;&gt;"",SUMPRODUCT((BU$67:BU$70=BU70)*(BP$67:BP$70=BP70)*(BN$67:BN$70=BN70)*(BR$67:BR$70=BR70)*(BS$67:BS$70=BS70)*(BT$67:BT$70&gt;BT70)),"")</f>
        <v/>
      </c>
      <c r="CB70" s="231" t="str">
        <f>IF(BJ70&lt;&gt;"",SUM(BV70:CA70)+2,"")</f>
        <v/>
      </c>
      <c r="CC70" s="231" t="str">
        <f>IF(BJ70&lt;&gt;"",INDEX(BJ$69:BJ$71,MATCH(4,CB$69:CB$71,0),0),"")</f>
        <v/>
      </c>
      <c r="CD70" s="231" t="str">
        <f>IF(T67&lt;&gt;"",T67,"")</f>
        <v/>
      </c>
      <c r="CE70" s="231">
        <f>SUMPRODUCT((DA$3:DA$105=CD70)*(DD$3:DD$105=CD71)*(DE$3:DE$105="W"))+SUMPRODUCT((DA$3:DA$105=CD70)*(DD$3:DD$105=CD111)*(DE$3:DE$105="W"))+SUMPRODUCT((DA$3:DA$105=CD70)*(DD$3:DD$105=CD112)*(DE$3:DE$105="W"))+SUMPRODUCT((DA$3:DA$105=CD71)*(DD$3:DD$105=CD70)*(DF$3:DF$105="W"))+SUMPRODUCT((DA$3:DA$105=CD111)*(DD$3:DD$105=CD70)*(DF$3:DF$105="W"))+SUMPRODUCT((DA$3:DA$105=CD112)*(DD$3:DD$105=CD70)*(DF$3:DF$105="W"))</f>
        <v>0</v>
      </c>
      <c r="CF70" s="231">
        <f>SUMPRODUCT((DA$3:DA$105=CD70)*(DD$3:DD$105=CD71)*(DE$3:DE$105="D"))+SUMPRODUCT((DA$3:DA$105=CD70)*(DD$3:DD$105=CD111)*(DE$3:DE$105="D"))+SUMPRODUCT((DA$3:DA$105=CD70)*(DD$3:DD$105=CD112)*(DE$3:DE$105="D"))+SUMPRODUCT((DA$3:DA$105=CD71)*(DD$3:DD$105=CD70)*(DE$3:DE$105="D"))+SUMPRODUCT((DA$3:DA$105=CD111)*(DD$3:DD$105=CD70)*(DE$3:DE$105="D"))+SUMPRODUCT((DA$3:DA$105=CD112)*(DD$3:DD$105=CD70)*(DE$3:DE$105="D"))</f>
        <v>0</v>
      </c>
      <c r="CG70" s="231">
        <f>SUMPRODUCT((DA$3:DA$105=CD70)*(DD$3:DD$105=CD71)*(DE$3:DE$105="L"))+SUMPRODUCT((DA$3:DA$105=CD70)*(DD$3:DD$105=CD111)*(DE$3:DE$105="L"))+SUMPRODUCT((DA$3:DA$105=CD70)*(DD$3:DD$105=CD112)*(DE$3:DE$105="L"))+SUMPRODUCT((DA$3:DA$105=CD71)*(DD$3:DD$105=CD70)*(DF$3:DF$105="L"))+SUMPRODUCT((DA$3:DA$105=CD111)*(DD$3:DD$105=CD70)*(DF$3:DF$105="L"))+SUMPRODUCT((DA$3:DA$105=CD112)*(DD$3:DD$105=CD70)*(DF$3:DF$105="L"))</f>
        <v>0</v>
      </c>
      <c r="CH70" s="231">
        <f>SUMPRODUCT((DA$3:DA$105=CD70)*(DD$3:DD$105=CD71)*DB$3:DB$105)+SUMPRODUCT((DA$3:DA$105=CD70)*(DD$3:DD$105=CD67)*DB$3:DB$105)+SUMPRODUCT((DA$3:DA$105=CD70)*(DD$3:DD$105=CD68)*DB$3:DB$105)+SUMPRODUCT((DA$3:DA$105=CD70)*(DD$3:DD$105=CD69)*DB$3:DB$105)+SUMPRODUCT((DA$3:DA$105=CD71)*(DD$3:DD$105=CD70)*DC$3:DC$105)+SUMPRODUCT((DA$3:DA$105=CD67)*(DD$3:DD$105=CD70)*DC$3:DC$105)+SUMPRODUCT((DA$3:DA$105=CD68)*(DD$3:DD$105=CD70)*DC$3:DC$105)+SUMPRODUCT((DA$3:DA$105=CD69)*(DD$3:DD$105=CD70)*DC$3:DC$105)</f>
        <v>0</v>
      </c>
      <c r="CI70" s="231">
        <f>SUMPRODUCT((DA$3:DA$105=CD70)*(DD$3:DD$105=CD71)*DC$3:DC$105)+SUMPRODUCT((DA$3:DA$105=CD70)*(DD$3:DD$105=CD67)*DC$3:DC$105)+SUMPRODUCT((DA$3:DA$105=CD70)*(DD$3:DD$105=CD68)*DC$3:DC$105)+SUMPRODUCT((DA$3:DA$105=CD70)*(DD$3:DD$105=CD69)*DC$3:DC$105)+SUMPRODUCT((DA$3:DA$105=CD71)*(DD$3:DD$105=CD70)*DB$3:DB$105)+SUMPRODUCT((DA$3:DA$105=CD67)*(DD$3:DD$105=CD70)*DB$3:DB$105)+SUMPRODUCT((DA$3:DA$105=CD68)*(DD$3:DD$105=CD70)*DB$3:DB$105)+SUMPRODUCT((DA$3:DA$105=CD69)*(DD$3:DD$105=CD70)*DB$3:DB$105)</f>
        <v>0</v>
      </c>
      <c r="CJ70" s="231">
        <f>CH70-CI70+1000</f>
        <v>1000</v>
      </c>
      <c r="CK70" s="231" t="str">
        <f t="shared" ref="CK70" si="151">IF(CD70&lt;&gt;"",CE70*3+CF70*1,"")</f>
        <v/>
      </c>
      <c r="CL70" s="231" t="str">
        <f>IF(CD70&lt;&gt;"",VLOOKUP(CD70,C$4:I$70,7,FALSE),"")</f>
        <v/>
      </c>
      <c r="CM70" s="231" t="str">
        <f>IF(CD70&lt;&gt;"",VLOOKUP(CD70,C$4:I$70,5,FALSE),"")</f>
        <v/>
      </c>
      <c r="CN70" s="231" t="str">
        <f>IF(CD70&lt;&gt;"",VLOOKUP(CD70,C$4:K$70,9,FALSE),"")</f>
        <v/>
      </c>
      <c r="CO70" s="231" t="str">
        <f t="shared" ref="CO70" si="152">CK70</f>
        <v/>
      </c>
      <c r="CP70" s="231" t="str">
        <f>IF(CD70&lt;&gt;"",RANK(CO70,AG67:AG71),"")</f>
        <v/>
      </c>
      <c r="CQ70" s="231" t="str">
        <f>IF(CD70&lt;&gt;"",SUMPRODUCT((CO67:CO71=CO70)*(CJ67:CJ71&gt;CJ70)),"")</f>
        <v/>
      </c>
      <c r="CR70" s="231" t="str">
        <f>IF(CD70&lt;&gt;"",SUMPRODUCT((CO67:CO71=CO70)*(CJ67:CJ71=CJ70)*(CH67:CH71&gt;CH70)),"")</f>
        <v/>
      </c>
      <c r="CS70" s="231" t="str">
        <f>IF(CD70&lt;&gt;"",SUMPRODUCT((CO67:CO71=CO70)*(CJ67:CJ71=CJ70)*(CH67:CH71=CH70)*(CL67:CL71&gt;CL70)),"")</f>
        <v/>
      </c>
      <c r="CT70" s="231" t="str">
        <f>IF(CD70&lt;&gt;"",SUMPRODUCT((CO67:CO71=CO70)*(CJ67:CJ71=CJ70)*(CH67:CH71=CH70)*(CL67:CL71=CL70)*(CM67:CM71&gt;CM70)),"")</f>
        <v/>
      </c>
      <c r="CU70" s="231" t="str">
        <f>IF(CD70&lt;&gt;"",SUMPRODUCT((CO67:CO71=CO70)*(CJ67:CJ71=CJ70)*(CH67:CH71=CH70)*(CL67:CL71=CL70)*(CM67:CM71=CM70)*(CN67:CN71&gt;CN70)),"")</f>
        <v/>
      </c>
      <c r="CV70" s="231" t="str">
        <f>IF(CD70&lt;&gt;"",SUM(CP70:CU70)+3,"")</f>
        <v/>
      </c>
      <c r="CW70" s="231" t="str">
        <f>IF(CD70&lt;&gt;"",IF(CV70=4,CD70,CD71),"")</f>
        <v/>
      </c>
      <c r="CX70" s="231" t="str">
        <f>IF(CW70&lt;&gt;"",CW70,IF(CC70&lt;&gt;"",CC70,IF(BI70&lt;&gt;"",BI70,IF(AO70&lt;&gt;"",AO70,O70))))</f>
        <v>Uzbekistan</v>
      </c>
      <c r="CY70" s="231">
        <v>4</v>
      </c>
      <c r="DA70" s="234" t="str">
        <f>Matches!H71</f>
        <v>Croatia</v>
      </c>
      <c r="DB70" s="234">
        <f>IF($DA$2&lt;&gt;"",IF(AND(Matches!J71&lt;&gt;"",Matches!K71&lt;&gt;""),Matches!J71,0),"")</f>
        <v>0</v>
      </c>
      <c r="DC70" s="234">
        <f>IF($DA$2&lt;&gt;"",IF(AND(Matches!J71&lt;&gt;"",Matches!K71&lt;&gt;""),Matches!K71,0),"")</f>
        <v>0</v>
      </c>
      <c r="DD70" s="234" t="str">
        <f>Matches!M71</f>
        <v>Ghana</v>
      </c>
      <c r="DE70" s="234" t="str">
        <f>IF(AND(Matches!J71&lt;&gt;"",Matches!K71&lt;&gt;""),IF(DB70&gt;DC70,"W",IF(DB70=DC70,"D","L")),"")</f>
        <v/>
      </c>
      <c r="DF70" s="231" t="str">
        <f t="shared" si="106"/>
        <v/>
      </c>
      <c r="DS70" s="233" t="str">
        <f>Matches!H91</f>
        <v>Group K Winner</v>
      </c>
      <c r="DU70" s="233" t="str">
        <f>IF(ISERROR("Calculator!"&amp;VLOOKUP(DS70,Calculator!$DS$7:$DT$54,2,FALSE)),"Calculator!dr77","Calculator!"&amp;VLOOKUP(DS70,Calculator!$DS$7:$DT$54,2,FALSE))</f>
        <v>Calculator!dr77</v>
      </c>
      <c r="DX70" s="230"/>
      <c r="DY70" s="243">
        <v>64</v>
      </c>
      <c r="DZ70" s="244">
        <f t="shared" si="14"/>
        <v>46199.958333333336</v>
      </c>
      <c r="EA70" s="247">
        <v>46199.958333333336</v>
      </c>
      <c r="EB70" s="246">
        <f t="shared" si="75"/>
        <v>46199.958333333336</v>
      </c>
      <c r="EC70" s="247"/>
    </row>
    <row r="71" spans="1:133" x14ac:dyDescent="0.25">
      <c r="DA71" s="234" t="str">
        <f>Matches!H72</f>
        <v>Algeria</v>
      </c>
      <c r="DB71" s="234">
        <f>IF($DA$2&lt;&gt;"",IF(AND(Matches!J72&lt;&gt;"",Matches!K72&lt;&gt;""),Matches!J72,0),"")</f>
        <v>0</v>
      </c>
      <c r="DC71" s="234">
        <f>IF($DA$2&lt;&gt;"",IF(AND(Matches!J72&lt;&gt;"",Matches!K72&lt;&gt;""),Matches!K72,0),"")</f>
        <v>0</v>
      </c>
      <c r="DD71" s="234" t="str">
        <f>Matches!M72</f>
        <v>Austria</v>
      </c>
      <c r="DE71" s="234" t="str">
        <f>IF(AND(Matches!J72&lt;&gt;"",Matches!K72&lt;&gt;""),IF(DB71&gt;DC71,"W",IF(DB71=DC71,"D","L")),"")</f>
        <v/>
      </c>
      <c r="DF71" s="231" t="str">
        <f t="shared" si="106"/>
        <v/>
      </c>
      <c r="DS71" s="233" t="str">
        <f>Matches!H92</f>
        <v>Group D Runner Up</v>
      </c>
      <c r="DU71" s="233" t="str">
        <f>IF(ISERROR("Calculator!"&amp;VLOOKUP(DS71,Calculator!$DS$7:$DT$54,2,FALSE)),"Calculator!dr77","Calculator!"&amp;VLOOKUP(DS71,Calculator!$DS$7:$DT$54,2,FALSE))</f>
        <v>Calculator!dr77</v>
      </c>
      <c r="DX71" s="230"/>
      <c r="DY71" s="243">
        <v>65</v>
      </c>
      <c r="DZ71" s="244">
        <f t="shared" si="14"/>
        <v>46199.833333333336</v>
      </c>
      <c r="EA71" s="247">
        <v>46199.833333333336</v>
      </c>
      <c r="EB71" s="246">
        <f t="shared" si="75"/>
        <v>46199.833333333336</v>
      </c>
      <c r="EC71" s="230"/>
    </row>
    <row r="72" spans="1:133" x14ac:dyDescent="0.25">
      <c r="DA72" s="234" t="str">
        <f>Matches!H73</f>
        <v>Jordan</v>
      </c>
      <c r="DB72" s="234">
        <f>IF($DA$2&lt;&gt;"",IF(AND(Matches!J73&lt;&gt;"",Matches!K73&lt;&gt;""),Matches!J73,0),"")</f>
        <v>0</v>
      </c>
      <c r="DC72" s="234">
        <f>IF($DA$2&lt;&gt;"",IF(AND(Matches!J73&lt;&gt;"",Matches!K73&lt;&gt;""),Matches!K73,0),"")</f>
        <v>0</v>
      </c>
      <c r="DD72" s="234" t="str">
        <f>Matches!M73</f>
        <v>Argentina</v>
      </c>
      <c r="DE72" s="234" t="str">
        <f>IF(AND(Matches!J73&lt;&gt;"",Matches!K73&lt;&gt;""),IF(DB72&gt;DC72,"W",IF(DB72=DC72,"D","L")),"")</f>
        <v/>
      </c>
      <c r="DF72" s="231" t="str">
        <f t="shared" ref="DF72:DF74" si="153">IF(DE72&lt;&gt;"",IF(DE72="W","L",IF(DE72="L","W","D")),"")</f>
        <v/>
      </c>
      <c r="DS72" s="233" t="str">
        <f>Matches!H93</f>
        <v>Match 74 Winner</v>
      </c>
      <c r="DU72" s="233" t="str">
        <f>IF(ISERROR("Calculator!"&amp;VLOOKUP(DS72,Calculator!$DS$7:$DT$54,2,FALSE)),"Calculator!dr77","Calculator!"&amp;VLOOKUP(DS72,Calculator!$DS$7:$DT$54,2,FALSE))</f>
        <v>Calculator!dr77</v>
      </c>
      <c r="DX72" s="230"/>
      <c r="DY72" s="243"/>
      <c r="DZ72" s="244"/>
      <c r="EA72" s="247"/>
      <c r="EB72" s="246"/>
      <c r="EC72" s="230"/>
    </row>
    <row r="73" spans="1:133" x14ac:dyDescent="0.25">
      <c r="A73" s="230">
        <f>Setup!F52+100</f>
        <v>104</v>
      </c>
      <c r="B73" s="231">
        <f>VLOOKUP(C73,CX$73:CY$76,2,FALSE)</f>
        <v>1</v>
      </c>
      <c r="C73" s="232" t="str">
        <f>EE51</f>
        <v>England</v>
      </c>
      <c r="D73" s="231">
        <f>SUMPRODUCT((DA$3:DA$105=C73)*(DE$3:DE$105="W"))+SUMPRODUCT((DD$3:DD$105=C73)*(DF$3:DF$105="W"))</f>
        <v>0</v>
      </c>
      <c r="E73" s="231">
        <f>SUMPRODUCT((DA$3:DA$105=C73)*(DE$3:DE$105="D"))+SUMPRODUCT((DD$3:DD$105=C73)*(DF$3:DF$105="D"))</f>
        <v>0</v>
      </c>
      <c r="F73" s="231">
        <f>SUMPRODUCT((DA$3:DA$105=C73)*(DE$3:DE$105="L"))+SUMPRODUCT((DD$3:DD$105=C73)*(DF$3:DF$105="L"))</f>
        <v>0</v>
      </c>
      <c r="G73" s="231">
        <f>SUMIF(DA$3:DA$123,C73,DB$3:DB$123)+SUMIF(DD$3:DD$123,C73,DC$3:DC$123)</f>
        <v>0</v>
      </c>
      <c r="H73" s="231">
        <f>SUMIF(DD$3:DD$123,C73,DB$3:DB$123)+SUMIF(DA$3:DA$123,C73,DC$3:DC$123)</f>
        <v>0</v>
      </c>
      <c r="I73" s="231">
        <f t="shared" ref="I73:I76" si="154">G73-H73+1000</f>
        <v>1000</v>
      </c>
      <c r="J73" s="231">
        <f t="shared" ref="J73:J76" si="155">D73*3+E73*1</f>
        <v>0</v>
      </c>
      <c r="K73" s="231">
        <f>IF(Setup!G52&lt;&gt;"",Setup!G52,-A73)</f>
        <v>-104</v>
      </c>
      <c r="L73" s="231">
        <f>IF(COUNTIF(J$73:J$76,4)&lt;&gt;4,RANK(J73,J$73:J$76),J152)</f>
        <v>1</v>
      </c>
      <c r="N73" s="231">
        <f>SUMPRODUCT((L$73:L$76=L73)*(K$73:K$76&lt;K73))+L73</f>
        <v>4</v>
      </c>
      <c r="O73" s="232" t="str">
        <f>INDEX(C$73:C$76,MATCH(1,N$73:N$76,0),0)</f>
        <v>Ghana</v>
      </c>
      <c r="P73" s="231">
        <f>INDEX(L$73:L$76,MATCH(O73,C$73:C$76,0),0)</f>
        <v>1</v>
      </c>
      <c r="Q73" s="231" t="str">
        <f>IF(P74=1,O73,"")</f>
        <v>Ghana</v>
      </c>
      <c r="R73" s="231" t="str">
        <f>IF(P75=2,O74,"")</f>
        <v/>
      </c>
      <c r="S73" s="231" t="str">
        <f>IF(P76=3,O75,"")</f>
        <v/>
      </c>
      <c r="T73" s="231" t="str">
        <f>IF(P77=4,O76,"")</f>
        <v/>
      </c>
      <c r="V73" s="231" t="str">
        <f>IF(Q73&lt;&gt;"",Q73,"")</f>
        <v>Ghana</v>
      </c>
      <c r="W73" s="231">
        <f>SUMPRODUCT((DA$3:DA$105=V73)*(DD$3:DD$105=V74)*(DE$3:DE$105="W"))+SUMPRODUCT((DA$3:DA$105=V73)*(DD$3:DD$105=V75)*(DE$3:DE$105="W"))+SUMPRODUCT((DA$3:DA$105=V73)*(DD$3:DD$105=V76)*(DE$3:DE$105="W"))+SUMPRODUCT((DA$3:DA$105=V73)*(DD$3:DD$105=V77)*(DE$3:DE$105="W"))+SUMPRODUCT((DA$3:DA$105=V74)*(DD$3:DD$105=V73)*(DF$3:DF$105="W"))+SUMPRODUCT((DA$3:DA$105=V75)*(DD$3:DD$105=V73)*(DF$3:DF$105="W"))+SUMPRODUCT((DA$3:DA$105=V76)*(DD$3:DD$105=V73)*(DF$3:DF$105="W"))+SUMPRODUCT((DA$3:DA$105=V77)*(DD$3:DD$105=V73)*(DF$3:DF$105="W"))</f>
        <v>0</v>
      </c>
      <c r="X73" s="231">
        <f>SUMPRODUCT((DA$3:DA$105=V73)*(DD$3:DD$105=V74)*(DE$3:DE$105="D"))+SUMPRODUCT((DA$3:DA$105=V73)*(DD$3:DD$105=V75)*(DE$3:DE$105="D"))+SUMPRODUCT((DA$3:DA$105=V73)*(DD$3:DD$105=V76)*(DE$3:DE$105="D"))+SUMPRODUCT((DA$3:DA$105=V73)*(DD$3:DD$105=V77)*(DE$3:DE$105="D"))+SUMPRODUCT((DA$3:DA$105=V74)*(DD$3:DD$105=V73)*(DE$3:DE$105="D"))+SUMPRODUCT((DA$3:DA$105=V75)*(DD$3:DD$105=V73)*(DE$3:DE$105="D"))+SUMPRODUCT((DA$3:DA$105=V76)*(DD$3:DD$105=V73)*(DE$3:DE$105="D"))+SUMPRODUCT((DA$3:DA$105=V77)*(DD$3:DD$105=V73)*(DE$3:DE$105="D"))</f>
        <v>0</v>
      </c>
      <c r="Y73" s="231">
        <f>SUMPRODUCT((DA$3:DA$105=V73)*(DD$3:DD$105=V74)*(DE$3:DE$105="L"))+SUMPRODUCT((DA$3:DA$105=V73)*(DD$3:DD$105=V75)*(DE$3:DE$105="L"))+SUMPRODUCT((DA$3:DA$105=V73)*(DD$3:DD$105=V76)*(DE$3:DE$105="L"))+SUMPRODUCT((DA$3:DA$105=V73)*(DD$3:DD$105=V77)*(DE$3:DE$105="L"))+SUMPRODUCT((DA$3:DA$105=V74)*(DD$3:DD$105=V73)*(DF$3:DF$105="L"))+SUMPRODUCT((DA$3:DA$105=V75)*(DD$3:DD$105=V73)*(DF$3:DF$105="L"))+SUMPRODUCT((DA$3:DA$105=V76)*(DD$3:DD$105=V73)*(DF$3:DF$105="L"))+SUMPRODUCT((DA$3:DA$105=V77)*(DD$3:DD$105=V73)*(DF$3:DF$105="L"))</f>
        <v>0</v>
      </c>
      <c r="Z73" s="231">
        <f>SUMPRODUCT((DA$3:DA$105=V73)*(DD$3:DD$105=V74)*DB$3:DB$105)+SUMPRODUCT((DA$3:DA$105=V73)*(DD$3:DD$105=V75)*DB$3:DB$105)+SUMPRODUCT((DA$3:DA$105=V73)*(DD$3:DD$105=V76)*DB$3:DB$105)+SUMPRODUCT((DA$3:DA$105=V73)*(DD$3:DD$105=V77)*DB$3:DB$105)+SUMPRODUCT((DA$3:DA$105=V74)*(DD$3:DD$105=V73)*DC$3:DC$105)+SUMPRODUCT((DA$3:DA$105=V75)*(DD$3:DD$105=V73)*DC$3:DC$105)+SUMPRODUCT((DA$3:DA$105=V76)*(DD$3:DD$105=V73)*DC$3:DC$105)+SUMPRODUCT((DA$3:DA$105=V77)*(DD$3:DD$105=V73)*DC$3:DC$105)</f>
        <v>0</v>
      </c>
      <c r="AA73" s="231">
        <f>SUMPRODUCT((DA$3:DA$105=V73)*(DD$3:DD$105=V74)*DC$3:DC$105)+SUMPRODUCT((DA$3:DA$105=V73)*(DD$3:DD$105=V75)*DC$3:DC$105)+SUMPRODUCT((DA$3:DA$105=V73)*(DD$3:DD$105=V76)*DC$3:DC$105)+SUMPRODUCT((DA$3:DA$105=V73)*(DD$3:DD$105=V77)*DC$3:DC$105)+SUMPRODUCT((DA$3:DA$105=V74)*(DD$3:DD$105=V73)*DB$3:DB$105)+SUMPRODUCT((DA$3:DA$105=V75)*(DD$3:DD$105=V73)*DB$3:DB$105)+SUMPRODUCT((DA$3:DA$105=V76)*(DD$3:DD$105=V73)*DB$3:DB$105)+SUMPRODUCT((DA$3:DA$105=V77)*(DD$3:DD$105=V73)*DB$3:DB$105)</f>
        <v>0</v>
      </c>
      <c r="AB73" s="231">
        <f>Z73-AA73+1000</f>
        <v>1000</v>
      </c>
      <c r="AC73" s="231">
        <f t="shared" ref="AC73:AC76" si="156">IF(V73&lt;&gt;"",W73*3+X73*1,"")</f>
        <v>0</v>
      </c>
      <c r="AD73" s="231">
        <f>IF(V73&lt;&gt;"",VLOOKUP(V73,C$4:I$76,7,FALSE),"")</f>
        <v>1000</v>
      </c>
      <c r="AE73" s="231">
        <f>IF(V73&lt;&gt;"",VLOOKUP(V73,C$4:I$76,5,FALSE),"")</f>
        <v>0</v>
      </c>
      <c r="AF73" s="231">
        <f>IF(V73&lt;&gt;"",VLOOKUP(V73,C$4:K$76,9,FALSE),"")</f>
        <v>-172</v>
      </c>
      <c r="AG73" s="231">
        <f t="shared" ref="AG73:AG76" si="157">AC73</f>
        <v>0</v>
      </c>
      <c r="AH73" s="231">
        <f>IF(V73&lt;&gt;"",RANK(AG73,AG$73:AG$76),"")</f>
        <v>1</v>
      </c>
      <c r="AI73" s="231">
        <f>IF(V73&lt;&gt;"",SUMPRODUCT((AG$73:AG$76=AG73)*(AB$73:AB$76&gt;AB73)),"")</f>
        <v>0</v>
      </c>
      <c r="AJ73" s="231">
        <f>IF(V73&lt;&gt;"",SUMPRODUCT((AG$73:AG$76=AG73)*(AB$73:AB$76=AB73)*(Z$73:Z$76&gt;Z73)),"")</f>
        <v>0</v>
      </c>
      <c r="AK73" s="231">
        <f>IF(V73&lt;&gt;"",SUMPRODUCT((AG$73:AG$76=AG73)*(AB$73:AB$76=AB73)*(Z$73:Z$76=Z73)*(AD$73:AD$76&gt;AD73)),"")</f>
        <v>0</v>
      </c>
      <c r="AL73" s="231">
        <f>IF(V73&lt;&gt;"",SUMPRODUCT((AG$73:AG$76=AG73)*(AB$73:AB$76=AB73)*(Z$73:Z$76=Z73)*(AD$73:AD$76=AD73)*(AE$73:AE$76&gt;AE73)),"")</f>
        <v>0</v>
      </c>
      <c r="AM73" s="231">
        <f>IF(V73&lt;&gt;"",SUMPRODUCT((AG$73:AG$76=AG73)*(AB$73:AB$76=AB73)*(Z$73:Z$76=Z73)*(AD$73:AD$76=AD73)*(AE$73:AE$76=AE73)*(AF$73:AF$76&gt;AF73)),"")</f>
        <v>3</v>
      </c>
      <c r="AN73" s="231">
        <f>IF(V73&lt;&gt;"",IF(AN152&lt;&gt;"",IF(U151=3,AN152,AN152+U151),SUM(AH73:AM73)),"")</f>
        <v>4</v>
      </c>
      <c r="AO73" s="231" t="str">
        <f>IF(V73&lt;&gt;"",INDEX(V$73:V$76,MATCH(1,AN$73:AN$76,0),0),"")</f>
        <v>England</v>
      </c>
      <c r="CX73" s="231" t="str">
        <f>IF(Matches!S108="© 2025 | journalSHEET.com",IF(AO73&lt;&gt;"",AO73,O73),"England")</f>
        <v>England</v>
      </c>
      <c r="CY73" s="231">
        <v>1</v>
      </c>
      <c r="DA73" s="234" t="str">
        <f>Matches!H74</f>
        <v>Colombia</v>
      </c>
      <c r="DB73" s="234">
        <f>IF($DA$2&lt;&gt;"",IF(AND(Matches!J74&lt;&gt;"",Matches!K74&lt;&gt;""),Matches!J74,0),"")</f>
        <v>0</v>
      </c>
      <c r="DC73" s="234">
        <f>IF($DA$2&lt;&gt;"",IF(AND(Matches!J74&lt;&gt;"",Matches!K74&lt;&gt;""),Matches!K74,0),"")</f>
        <v>0</v>
      </c>
      <c r="DD73" s="234" t="str">
        <f>Matches!M74</f>
        <v>Portugal</v>
      </c>
      <c r="DE73" s="234" t="str">
        <f>IF(AND(Matches!J74&lt;&gt;"",Matches!K74&lt;&gt;""),IF(DB73&gt;DC73,"W",IF(DB73=DC73,"D","L")),"")</f>
        <v/>
      </c>
      <c r="DF73" s="231" t="str">
        <f t="shared" si="153"/>
        <v/>
      </c>
      <c r="DS73" s="233" t="str">
        <f>Matches!H94</f>
        <v>Match 73 Winner</v>
      </c>
      <c r="DU73" s="233" t="str">
        <f>IF(ISERROR("Calculator!"&amp;VLOOKUP(DS73,Calculator!$DS$7:$DT$54,2,FALSE)),"Calculator!dr77","Calculator!"&amp;VLOOKUP(DS73,Calculator!$DS$7:$DT$54,2,FALSE))</f>
        <v>Calculator!dr77</v>
      </c>
      <c r="DX73" s="230"/>
      <c r="DY73" s="243">
        <v>66</v>
      </c>
      <c r="DZ73" s="244">
        <f t="shared" ref="DZ73:DZ111" si="158">EA73</f>
        <v>46199.833333333336</v>
      </c>
      <c r="EA73" s="247">
        <v>46199.833333333336</v>
      </c>
      <c r="EB73" s="246">
        <f t="shared" si="75"/>
        <v>46199.833333333336</v>
      </c>
      <c r="EC73" s="230"/>
    </row>
    <row r="74" spans="1:133" x14ac:dyDescent="0.25">
      <c r="A74" s="230">
        <f>Setup!F53+100</f>
        <v>111</v>
      </c>
      <c r="B74" s="231">
        <f>VLOOKUP(C74,CX$73:CY$76,2,FALSE)</f>
        <v>2</v>
      </c>
      <c r="C74" s="232" t="str">
        <f t="shared" ref="C74:C76" si="159">EE52</f>
        <v>Croatia</v>
      </c>
      <c r="D74" s="231">
        <f>SUMPRODUCT((DA$3:DA$105=C74)*(DE$3:DE$105="W"))+SUMPRODUCT((DD$3:DD$105=C74)*(DF$3:DF$105="W"))</f>
        <v>0</v>
      </c>
      <c r="E74" s="231">
        <f>SUMPRODUCT((DA$3:DA$105=C74)*(DE$3:DE$105="D"))+SUMPRODUCT((DD$3:DD$105=C74)*(DF$3:DF$105="D"))</f>
        <v>0</v>
      </c>
      <c r="F74" s="231">
        <f>SUMPRODUCT((DA$3:DA$105=C74)*(DE$3:DE$105="L"))+SUMPRODUCT((DD$3:DD$105=C74)*(DF$3:DF$105="L"))</f>
        <v>0</v>
      </c>
      <c r="G74" s="231">
        <f>SUMIF(DA$3:DA$123,C74,DB$3:DB$123)+SUMIF(DD$3:DD$123,C74,DC$3:DC$123)</f>
        <v>0</v>
      </c>
      <c r="H74" s="231">
        <f>SUMIF(DD$3:DD$123,C74,DB$3:DB$123)+SUMIF(DA$3:DA$123,C74,DC$3:DC$123)</f>
        <v>0</v>
      </c>
      <c r="I74" s="231">
        <f t="shared" si="154"/>
        <v>1000</v>
      </c>
      <c r="J74" s="231">
        <f t="shared" si="155"/>
        <v>0</v>
      </c>
      <c r="K74" s="231">
        <f>IF(Setup!G53&lt;&gt;"",Setup!G53,-A74)</f>
        <v>-111</v>
      </c>
      <c r="L74" s="231">
        <f>IF(COUNTIF(J$73:J$76,4)&lt;&gt;4,RANK(J74,J$73:J$76),J153)</f>
        <v>1</v>
      </c>
      <c r="N74" s="231">
        <f>SUMPRODUCT((L$73:L$76=L74)*(K$73:K$76&lt;K74))+L74</f>
        <v>3</v>
      </c>
      <c r="O74" s="232" t="str">
        <f>INDEX(C$73:C$76,MATCH(2,N$73:N$76,0),0)</f>
        <v>Panama</v>
      </c>
      <c r="P74" s="231">
        <f>INDEX(L$73:L$76,MATCH(O74,C$73:C$76,0),0)</f>
        <v>1</v>
      </c>
      <c r="Q74" s="231" t="str">
        <f>IF(Q73&lt;&gt;"",O74,"")</f>
        <v>Panama</v>
      </c>
      <c r="R74" s="231" t="str">
        <f>IF(R73&lt;&gt;"",O75,"")</f>
        <v/>
      </c>
      <c r="S74" s="231" t="str">
        <f>IF(S73&lt;&gt;"",O76,"")</f>
        <v/>
      </c>
      <c r="T74" s="231" t="str">
        <f>IF(T73&lt;&gt;"",O77,"")</f>
        <v/>
      </c>
      <c r="V74" s="231" t="str">
        <f t="shared" ref="V74:V76" si="160">IF(Q74&lt;&gt;"",Q74,"")</f>
        <v>Panama</v>
      </c>
      <c r="W74" s="231">
        <f>SUMPRODUCT((DA$3:DA$105=V74)*(DD$3:DD$105=V75)*(DE$3:DE$105="W"))+SUMPRODUCT((DA$3:DA$105=V74)*(DD$3:DD$105=V76)*(DE$3:DE$105="W"))+SUMPRODUCT((DA$3:DA$105=V74)*(DD$3:DD$105=V77)*(DE$3:DE$105="W"))+SUMPRODUCT((DA$3:DA$105=V74)*(DD$3:DD$105=V73)*(DE$3:DE$105="W"))+SUMPRODUCT((DA$3:DA$105=V75)*(DD$3:DD$105=V74)*(DF$3:DF$105="W"))+SUMPRODUCT((DA$3:DA$105=V76)*(DD$3:DD$105=V74)*(DF$3:DF$105="W"))+SUMPRODUCT((DA$3:DA$105=V77)*(DD$3:DD$105=V74)*(DF$3:DF$105="W"))+SUMPRODUCT((DA$3:DA$105=V73)*(DD$3:DD$105=V74)*(DF$3:DF$105="W"))</f>
        <v>0</v>
      </c>
      <c r="X74" s="231">
        <f>SUMPRODUCT((DA$3:DA$105=V74)*(DD$3:DD$105=V75)*(DE$3:DE$105="D"))+SUMPRODUCT((DA$3:DA$105=V74)*(DD$3:DD$105=V76)*(DE$3:DE$105="D"))+SUMPRODUCT((DA$3:DA$105=V74)*(DD$3:DD$105=V77)*(DE$3:DE$105="D"))+SUMPRODUCT((DA$3:DA$105=V74)*(DD$3:DD$105=V73)*(DE$3:DE$105="D"))+SUMPRODUCT((DA$3:DA$105=V75)*(DD$3:DD$105=V74)*(DE$3:DE$105="D"))+SUMPRODUCT((DA$3:DA$105=V76)*(DD$3:DD$105=V74)*(DE$3:DE$105="D"))+SUMPRODUCT((DA$3:DA$105=V77)*(DD$3:DD$105=V74)*(DE$3:DE$105="D"))+SUMPRODUCT((DA$3:DA$105=V73)*(DD$3:DD$105=V74)*(DE$3:DE$105="D"))</f>
        <v>0</v>
      </c>
      <c r="Y74" s="231">
        <f>SUMPRODUCT((DA$3:DA$105=V74)*(DD$3:DD$105=V75)*(DE$3:DE$105="L"))+SUMPRODUCT((DA$3:DA$105=V74)*(DD$3:DD$105=V76)*(DE$3:DE$105="L"))+SUMPRODUCT((DA$3:DA$105=V74)*(DD$3:DD$105=V77)*(DE$3:DE$105="L"))+SUMPRODUCT((DA$3:DA$105=V74)*(DD$3:DD$105=V73)*(DE$3:DE$105="L"))+SUMPRODUCT((DA$3:DA$105=V75)*(DD$3:DD$105=V74)*(DF$3:DF$105="L"))+SUMPRODUCT((DA$3:DA$105=V76)*(DD$3:DD$105=V74)*(DF$3:DF$105="L"))+SUMPRODUCT((DA$3:DA$105=V77)*(DD$3:DD$105=V74)*(DF$3:DF$105="L"))+SUMPRODUCT((DA$3:DA$105=V73)*(DD$3:DD$105=V74)*(DF$3:DF$105="L"))</f>
        <v>0</v>
      </c>
      <c r="Z74" s="231">
        <f>SUMPRODUCT((DA$3:DA$105=V74)*(DD$3:DD$105=V75)*DB$3:DB$105)+SUMPRODUCT((DA$3:DA$105=V74)*(DD$3:DD$105=V76)*DB$3:DB$105)+SUMPRODUCT((DA$3:DA$105=V74)*(DD$3:DD$105=V77)*DB$3:DB$105)+SUMPRODUCT((DA$3:DA$105=V74)*(DD$3:DD$105=V73)*DB$3:DB$105)+SUMPRODUCT((DA$3:DA$105=V75)*(DD$3:DD$105=V74)*DC$3:DC$105)+SUMPRODUCT((DA$3:DA$105=V76)*(DD$3:DD$105=V74)*DC$3:DC$105)+SUMPRODUCT((DA$3:DA$105=V77)*(DD$3:DD$105=V74)*DC$3:DC$105)+SUMPRODUCT((DA$3:DA$105=V73)*(DD$3:DD$105=V74)*DC$3:DC$105)</f>
        <v>0</v>
      </c>
      <c r="AA74" s="231">
        <f>SUMPRODUCT((DA$3:DA$105=V74)*(DD$3:DD$105=V75)*DC$3:DC$105)+SUMPRODUCT((DA$3:DA$105=V74)*(DD$3:DD$105=V76)*DC$3:DC$105)+SUMPRODUCT((DA$3:DA$105=V74)*(DD$3:DD$105=V77)*DC$3:DC$105)+SUMPRODUCT((DA$3:DA$105=V74)*(DD$3:DD$105=V73)*DC$3:DC$105)+SUMPRODUCT((DA$3:DA$105=V75)*(DD$3:DD$105=V74)*DB$3:DB$105)+SUMPRODUCT((DA$3:DA$105=V76)*(DD$3:DD$105=V74)*DB$3:DB$105)+SUMPRODUCT((DA$3:DA$105=V77)*(DD$3:DD$105=V74)*DB$3:DB$105)+SUMPRODUCT((DA$3:DA$105=V73)*(DD$3:DD$105=V74)*DB$3:DB$105)</f>
        <v>0</v>
      </c>
      <c r="AB74" s="231">
        <f>Z74-AA74+1000</f>
        <v>1000</v>
      </c>
      <c r="AC74" s="231">
        <f t="shared" si="156"/>
        <v>0</v>
      </c>
      <c r="AD74" s="231">
        <f>IF(V74&lt;&gt;"",VLOOKUP(V74,C$4:I$76,7,FALSE),"")</f>
        <v>1000</v>
      </c>
      <c r="AE74" s="231">
        <f>IF(V74&lt;&gt;"",VLOOKUP(V74,C$4:I$76,5,FALSE),"")</f>
        <v>0</v>
      </c>
      <c r="AF74" s="231">
        <f>IF(V74&lt;&gt;"",VLOOKUP(V74,C$4:K$76,9,FALSE),"")</f>
        <v>-133</v>
      </c>
      <c r="AG74" s="231">
        <f t="shared" si="157"/>
        <v>0</v>
      </c>
      <c r="AH74" s="231">
        <f>IF(V74&lt;&gt;"",RANK(AG74,AG$73:AG$76),"")</f>
        <v>1</v>
      </c>
      <c r="AI74" s="231">
        <f>IF(V74&lt;&gt;"",SUMPRODUCT((AG$73:AG$76=AG74)*(AB$73:AB$76&gt;AB74)),"")</f>
        <v>0</v>
      </c>
      <c r="AJ74" s="231">
        <f>IF(V74&lt;&gt;"",SUMPRODUCT((AG$73:AG$76=AG74)*(AB$73:AB$76=AB74)*(Z$73:Z$76&gt;Z74)),"")</f>
        <v>0</v>
      </c>
      <c r="AK74" s="231">
        <f>IF(V74&lt;&gt;"",SUMPRODUCT((AG$73:AG$76=AG74)*(AB$73:AB$76=AB74)*(Z$73:Z$76=Z74)*(AD$73:AD$76&gt;AD74)),"")</f>
        <v>0</v>
      </c>
      <c r="AL74" s="231">
        <f>IF(V74&lt;&gt;"",SUMPRODUCT((AG$73:AG$76=AG74)*(AB$73:AB$76=AB74)*(Z$73:Z$76=Z74)*(AD$73:AD$76=AD74)*(AE$73:AE$76&gt;AE74)),"")</f>
        <v>0</v>
      </c>
      <c r="AM74" s="231">
        <f>IF(V74&lt;&gt;"",SUMPRODUCT((AG$73:AG$76=AG74)*(AB$73:AB$76=AB74)*(Z$73:Z$76=Z74)*(AD$73:AD$76=AD74)*(AE$73:AE$76=AE74)*(AF$73:AF$76&gt;AF74)),"")</f>
        <v>2</v>
      </c>
      <c r="AN74" s="231">
        <f>IF(V74&lt;&gt;"",IF(AN153&lt;&gt;"",IF(U151=3,AN153,AN153+U151),SUM(AH74:AM74)),"")</f>
        <v>3</v>
      </c>
      <c r="AO74" s="231" t="str">
        <f>IF(V74&lt;&gt;"",INDEX(V$73:V$76,MATCH(2,AN$73:AN$76,0),0),"")</f>
        <v>Croatia</v>
      </c>
      <c r="AP74" s="231" t="str">
        <f>IF(R73&lt;&gt;"",R73,"")</f>
        <v/>
      </c>
      <c r="AQ74" s="231">
        <f>SUMPRODUCT((DA$3:DA$105=AP74)*(DD$3:DD$105=AP75)*(DE$3:DE$105="W"))+SUMPRODUCT((DA$3:DA$105=AP74)*(DD$3:DD$105=AP76)*(DE$3:DE$105="W"))+SUMPRODUCT((DA$3:DA$105=AP74)*(DD$3:DD$105=AP77)*(DE$3:DE$105="W"))+SUMPRODUCT((DA$3:DA$105=AP75)*(DD$3:DD$105=AP74)*(DF$3:DF$105="W"))+SUMPRODUCT((DA$3:DA$105=AP76)*(DD$3:DD$105=AP74)*(DF$3:DF$105="W"))+SUMPRODUCT((DA$3:DA$105=AP77)*(DD$3:DD$105=AP74)*(DF$3:DF$105="W"))</f>
        <v>0</v>
      </c>
      <c r="AR74" s="231">
        <f>SUMPRODUCT((DA$3:DA$105=AP74)*(DD$3:DD$105=AP75)*(DE$3:DE$105="D"))+SUMPRODUCT((DA$3:DA$105=AP74)*(DD$3:DD$105=AP76)*(DE$3:DE$105="D"))+SUMPRODUCT((DA$3:DA$105=AP74)*(DD$3:DD$105=AP77)*(DE$3:DE$105="D"))+SUMPRODUCT((DA$3:DA$105=AP75)*(DD$3:DD$105=AP74)*(DE$3:DE$105="D"))+SUMPRODUCT((DA$3:DA$105=AP76)*(DD$3:DD$105=AP74)*(DE$3:DE$105="D"))+SUMPRODUCT((DA$3:DA$105=AP77)*(DD$3:DD$105=AP74)*(DE$3:DE$105="D"))</f>
        <v>0</v>
      </c>
      <c r="AS74" s="231">
        <f>SUMPRODUCT((DA$3:DA$105=AP74)*(DD$3:DD$105=AP75)*(DE$3:DE$105="L"))+SUMPRODUCT((DA$3:DA$105=AP74)*(DD$3:DD$105=AP76)*(DE$3:DE$105="L"))+SUMPRODUCT((DA$3:DA$105=AP74)*(DD$3:DD$105=AP77)*(DE$3:DE$105="L"))+SUMPRODUCT((DA$3:DA$105=AP75)*(DD$3:DD$105=AP74)*(DF$3:DF$105="L"))+SUMPRODUCT((DA$3:DA$105=AP76)*(DD$3:DD$105=AP74)*(DF$3:DF$105="L"))+SUMPRODUCT((DA$3:DA$105=AP77)*(DD$3:DD$105=AP74)*(DF$3:DF$105="L"))</f>
        <v>0</v>
      </c>
      <c r="AT74" s="231">
        <f>SUMPRODUCT((DA$3:DA$105=AP74)*(DD$3:DD$105=AP75)*DB$3:DB$105)+SUMPRODUCT((DA$3:DA$105=AP74)*(DD$3:DD$105=AP76)*DB$3:DB$105)+SUMPRODUCT((DA$3:DA$105=AP74)*(DD$3:DD$105=AP77)*DB$3:DB$105)+SUMPRODUCT((DA$3:DA$105=AP74)*(DD$3:DD$105=AP73)*DB$3:DB$105)+SUMPRODUCT((DA$3:DA$105=AP75)*(DD$3:DD$105=AP74)*DC$3:DC$105)+SUMPRODUCT((DA$3:DA$105=AP76)*(DD$3:DD$105=AP74)*DC$3:DC$105)+SUMPRODUCT((DA$3:DA$105=AP77)*(DD$3:DD$105=AP74)*DC$3:DC$105)+SUMPRODUCT((DA$3:DA$105=AP73)*(DD$3:DD$105=AP74)*DC$3:DC$105)</f>
        <v>0</v>
      </c>
      <c r="AU74" s="231">
        <f>SUMPRODUCT((DA$3:DA$105=AP74)*(DD$3:DD$105=AP75)*DC$3:DC$105)+SUMPRODUCT((DA$3:DA$105=AP74)*(DD$3:DD$105=AP76)*DC$3:DC$105)+SUMPRODUCT((DA$3:DA$105=AP74)*(DD$3:DD$105=AP77)*DC$3:DC$105)+SUMPRODUCT((DA$3:DA$105=AP74)*(DD$3:DD$105=AP73)*DC$3:DC$105)+SUMPRODUCT((DA$3:DA$105=AP75)*(DD$3:DD$105=AP74)*DB$3:DB$105)+SUMPRODUCT((DA$3:DA$105=AP76)*(DD$3:DD$105=AP74)*DB$3:DB$105)+SUMPRODUCT((DA$3:DA$105=AP77)*(DD$3:DD$105=AP74)*DB$3:DB$105)+SUMPRODUCT((DA$3:DA$105=AP73)*(DD$3:DD$105=AP74)*DB$3:DB$105)</f>
        <v>0</v>
      </c>
      <c r="AV74" s="231">
        <f>AT74-AU74+1000</f>
        <v>1000</v>
      </c>
      <c r="AW74" s="231" t="str">
        <f t="shared" ref="AW74:AW76" si="161">IF(AP74&lt;&gt;"",AQ74*3+AR74*1,"")</f>
        <v/>
      </c>
      <c r="AX74" s="231" t="str">
        <f>IF(AP74&lt;&gt;"",VLOOKUP(AP74,C$4:I$76,7,FALSE),"")</f>
        <v/>
      </c>
      <c r="AY74" s="231" t="str">
        <f>IF(AP74&lt;&gt;"",VLOOKUP(AP74,C$4:I$76,5,FALSE),"")</f>
        <v/>
      </c>
      <c r="AZ74" s="231" t="str">
        <f>IF(AP74&lt;&gt;"",VLOOKUP(AP74,C$4:K$76,9,FALSE),"")</f>
        <v/>
      </c>
      <c r="BA74" s="231" t="str">
        <f t="shared" ref="BA74:BA76" si="162">AW74</f>
        <v/>
      </c>
      <c r="BB74" s="231" t="str">
        <f>IF(AP74&lt;&gt;"",RANK(BA74,BA$73:BA$76),"")</f>
        <v/>
      </c>
      <c r="BC74" s="231" t="str">
        <f>IF(AP74&lt;&gt;"",SUMPRODUCT((BA$73:BA$76=BA74)*(AV$73:AV$76&gt;AV74)),"")</f>
        <v/>
      </c>
      <c r="BD74" s="231" t="str">
        <f>IF(AP74&lt;&gt;"",SUMPRODUCT((BA$73:BA$76=BA74)*(AV$73:AV$76=AV74)*(AT$73:AT$76&gt;AT74)),"")</f>
        <v/>
      </c>
      <c r="BE74" s="231" t="str">
        <f>IF(AP74&lt;&gt;"",SUMPRODUCT((BA$73:BA$76=BA74)*(AV$73:AV$76=AV74)*(AT$73:AT$76=AT74)*(AX$73:AX$76&gt;AX74)),"")</f>
        <v/>
      </c>
      <c r="BF74" s="231" t="str">
        <f>IF(AP74&lt;&gt;"",SUMPRODUCT((BA$73:BA$76=BA74)*(AV$73:AV$76=AV74)*(AT$73:AT$76=AT74)*(AX$73:AX$76=AX74)*(AY$73:AY$76&gt;AY74)),"")</f>
        <v/>
      </c>
      <c r="BG74" s="231" t="str">
        <f>IF(AP74&lt;&gt;"",SUMPRODUCT((BA$73:BA$76=BA74)*(AV$73:AV$76=AV74)*(AT$73:AT$76=AT74)*(AX$73:AX$76=AX74)*(AY$73:AY$76=AY74)*(AZ$73:AZ$76&gt;AZ74)),"")</f>
        <v/>
      </c>
      <c r="BH74" s="231" t="str">
        <f>IF(AP74&lt;&gt;"",IF(BH153&lt;&gt;"",IF(AO$151=3,BH153,BH153+AO151),SUM(BB74:BG74)+1),"")</f>
        <v/>
      </c>
      <c r="BI74" s="231" t="str">
        <f>IF(AP74&lt;&gt;"",INDEX(AP$74:AP$77,MATCH(2,BH$74:BH$77,0),0),"")</f>
        <v/>
      </c>
      <c r="CX74" s="231" t="str">
        <f>IF(BI74&lt;&gt;"",BI74,IF(AO74&lt;&gt;"",AO74,O74))</f>
        <v>Croatia</v>
      </c>
      <c r="CY74" s="231">
        <v>2</v>
      </c>
      <c r="DA74" s="234" t="str">
        <f>Matches!H75</f>
        <v>DR Congo</v>
      </c>
      <c r="DB74" s="234">
        <f>IF($DA$2&lt;&gt;"",IF(AND(Matches!J75&lt;&gt;"",Matches!K75&lt;&gt;""),Matches!J75,0),"")</f>
        <v>0</v>
      </c>
      <c r="DC74" s="234">
        <f>IF($DA$2&lt;&gt;"",IF(AND(Matches!J75&lt;&gt;"",Matches!K75&lt;&gt;""),Matches!K75,0),"")</f>
        <v>0</v>
      </c>
      <c r="DD74" s="234" t="str">
        <f>Matches!M75</f>
        <v>Uzbekistan</v>
      </c>
      <c r="DE74" s="234" t="str">
        <f>IF(AND(Matches!J75&lt;&gt;"",Matches!K75&lt;&gt;""),IF(DB74&gt;DC74,"W",IF(DB74=DC74,"D","L")),"")</f>
        <v/>
      </c>
      <c r="DF74" s="231" t="str">
        <f t="shared" si="153"/>
        <v/>
      </c>
      <c r="DS74" s="233" t="str">
        <f>Matches!H95</f>
        <v>Match 76 Winner</v>
      </c>
      <c r="DU74" s="233" t="str">
        <f>IF(ISERROR("Calculator!"&amp;VLOOKUP(DS74,Calculator!$DS$7:$DT$54,2,FALSE)),"Calculator!dr77","Calculator!"&amp;VLOOKUP(DS74,Calculator!$DS$7:$DT$54,2,FALSE))</f>
        <v>Calculator!dr77</v>
      </c>
      <c r="DX74" s="230"/>
      <c r="DY74" s="243">
        <v>67</v>
      </c>
      <c r="DZ74" s="244">
        <f t="shared" si="158"/>
        <v>46200.708333333336</v>
      </c>
      <c r="EA74" s="247">
        <v>46200.708333333336</v>
      </c>
      <c r="EB74" s="246">
        <f t="shared" si="75"/>
        <v>46200.708333333336</v>
      </c>
      <c r="EC74" s="230"/>
    </row>
    <row r="75" spans="1:133" x14ac:dyDescent="0.25">
      <c r="A75" s="230">
        <f>Setup!F54+100</f>
        <v>172</v>
      </c>
      <c r="B75" s="231">
        <f>VLOOKUP(C75,CX$73:CY$76,2,FALSE)</f>
        <v>4</v>
      </c>
      <c r="C75" s="232" t="str">
        <f t="shared" si="159"/>
        <v>Ghana</v>
      </c>
      <c r="D75" s="231">
        <f>SUMPRODUCT((DA$3:DA$105=C75)*(DE$3:DE$105="W"))+SUMPRODUCT((DD$3:DD$105=C75)*(DF$3:DF$105="W"))</f>
        <v>0</v>
      </c>
      <c r="E75" s="231">
        <f>SUMPRODUCT((DA$3:DA$105=C75)*(DE$3:DE$105="D"))+SUMPRODUCT((DD$3:DD$105=C75)*(DF$3:DF$105="D"))</f>
        <v>0</v>
      </c>
      <c r="F75" s="231">
        <f>SUMPRODUCT((DA$3:DA$105=C75)*(DE$3:DE$105="L"))+SUMPRODUCT((DD$3:DD$105=C75)*(DF$3:DF$105="L"))</f>
        <v>0</v>
      </c>
      <c r="G75" s="231">
        <f>SUMIF(DA$3:DA$123,C75,DB$3:DB$123)+SUMIF(DD$3:DD$123,C75,DC$3:DC$123)</f>
        <v>0</v>
      </c>
      <c r="H75" s="231">
        <f>SUMIF(DD$3:DD$123,C75,DB$3:DB$123)+SUMIF(DA$3:DA$123,C75,DC$3:DC$123)</f>
        <v>0</v>
      </c>
      <c r="I75" s="231">
        <f t="shared" si="154"/>
        <v>1000</v>
      </c>
      <c r="J75" s="231">
        <f t="shared" si="155"/>
        <v>0</v>
      </c>
      <c r="K75" s="231">
        <f>IF(Setup!G54&lt;&gt;"",Setup!G54,-A75)</f>
        <v>-172</v>
      </c>
      <c r="L75" s="231">
        <f>IF(COUNTIF(J$73:J$76,4)&lt;&gt;4,RANK(J75,J$73:J$76),J154)</f>
        <v>1</v>
      </c>
      <c r="N75" s="231">
        <f>SUMPRODUCT((L$73:L$76=L75)*(K$73:K$76&lt;K75))+L75</f>
        <v>1</v>
      </c>
      <c r="O75" s="232" t="str">
        <f>INDEX(C$73:C$76,MATCH(3,N$73:N$76,0),0)</f>
        <v>Croatia</v>
      </c>
      <c r="P75" s="231">
        <f>INDEX(L$73:L$76,MATCH(O75,C$73:C$76,0),0)</f>
        <v>1</v>
      </c>
      <c r="Q75" s="231" t="str">
        <f>IF(AND(Q74&lt;&gt;"",P75=1),O75,"")</f>
        <v>Croatia</v>
      </c>
      <c r="R75" s="231" t="str">
        <f>IF(AND(R74&lt;&gt;"",P76=2),O76,"")</f>
        <v/>
      </c>
      <c r="S75" s="231" t="str">
        <f>IF(AND(S74&lt;&gt;"",P77=3),O77,"")</f>
        <v/>
      </c>
      <c r="V75" s="231" t="str">
        <f t="shared" si="160"/>
        <v>Croatia</v>
      </c>
      <c r="W75" s="231">
        <f>SUMPRODUCT((DA$3:DA$105=V75)*(DD$3:DD$105=V76)*(DE$3:DE$105="W"))+SUMPRODUCT((DA$3:DA$105=V75)*(DD$3:DD$105=V77)*(DE$3:DE$105="W"))+SUMPRODUCT((DA$3:DA$105=V75)*(DD$3:DD$105=V73)*(DE$3:DE$105="W"))+SUMPRODUCT((DA$3:DA$105=V75)*(DD$3:DD$105=V74)*(DE$3:DE$105="W"))+SUMPRODUCT((DA$3:DA$105=V76)*(DD$3:DD$105=V75)*(DF$3:DF$105="W"))+SUMPRODUCT((DA$3:DA$105=V77)*(DD$3:DD$105=V75)*(DF$3:DF$105="W"))+SUMPRODUCT((DA$3:DA$105=V73)*(DD$3:DD$105=V75)*(DF$3:DF$105="W"))+SUMPRODUCT((DA$3:DA$105=V74)*(DD$3:DD$105=V75)*(DF$3:DF$105="W"))</f>
        <v>0</v>
      </c>
      <c r="X75" s="231">
        <f>SUMPRODUCT((DA$3:DA$105=V75)*(DD$3:DD$105=V76)*(DE$3:DE$105="D"))+SUMPRODUCT((DA$3:DA$105=V75)*(DD$3:DD$105=V77)*(DE$3:DE$105="D"))+SUMPRODUCT((DA$3:DA$105=V75)*(DD$3:DD$105=V73)*(DE$3:DE$105="D"))+SUMPRODUCT((DA$3:DA$105=V75)*(DD$3:DD$105=V74)*(DE$3:DE$105="D"))+SUMPRODUCT((DA$3:DA$105=V76)*(DD$3:DD$105=V75)*(DE$3:DE$105="D"))+SUMPRODUCT((DA$3:DA$105=V77)*(DD$3:DD$105=V75)*(DE$3:DE$105="D"))+SUMPRODUCT((DA$3:DA$105=V73)*(DD$3:DD$105=V75)*(DE$3:DE$105="D"))+SUMPRODUCT((DA$3:DA$105=V74)*(DD$3:DD$105=V75)*(DE$3:DE$105="D"))</f>
        <v>0</v>
      </c>
      <c r="Y75" s="231">
        <f>SUMPRODUCT((DA$3:DA$105=V75)*(DD$3:DD$105=V76)*(DE$3:DE$105="L"))+SUMPRODUCT((DA$3:DA$105=V75)*(DD$3:DD$105=V77)*(DE$3:DE$105="L"))+SUMPRODUCT((DA$3:DA$105=V75)*(DD$3:DD$105=V73)*(DE$3:DE$105="L"))+SUMPRODUCT((DA$3:DA$105=V75)*(DD$3:DD$105=V74)*(DE$3:DE$105="L"))+SUMPRODUCT((DA$3:DA$105=V76)*(DD$3:DD$105=V75)*(DF$3:DF$105="L"))+SUMPRODUCT((DA$3:DA$105=V77)*(DD$3:DD$105=V75)*(DF$3:DF$105="L"))+SUMPRODUCT((DA$3:DA$105=V73)*(DD$3:DD$105=V75)*(DF$3:DF$105="L"))+SUMPRODUCT((DA$3:DA$105=V74)*(DD$3:DD$105=V75)*(DF$3:DF$105="L"))</f>
        <v>0</v>
      </c>
      <c r="Z75" s="231">
        <f>SUMPRODUCT((DA$3:DA$105=V75)*(DD$3:DD$105=V76)*DB$3:DB$105)+SUMPRODUCT((DA$3:DA$105=V75)*(DD$3:DD$105=V77)*DB$3:DB$105)+SUMPRODUCT((DA$3:DA$105=V75)*(DD$3:DD$105=V73)*DB$3:DB$105)+SUMPRODUCT((DA$3:DA$105=V75)*(DD$3:DD$105=V74)*DB$3:DB$105)+SUMPRODUCT((DA$3:DA$105=V76)*(DD$3:DD$105=V75)*DC$3:DC$105)+SUMPRODUCT((DA$3:DA$105=V77)*(DD$3:DD$105=V75)*DC$3:DC$105)+SUMPRODUCT((DA$3:DA$105=V73)*(DD$3:DD$105=V75)*DC$3:DC$105)+SUMPRODUCT((DA$3:DA$105=V74)*(DD$3:DD$105=V75)*DC$3:DC$105)</f>
        <v>0</v>
      </c>
      <c r="AA75" s="231">
        <f>SUMPRODUCT((DA$3:DA$105=V75)*(DD$3:DD$105=V76)*DC$3:DC$105)+SUMPRODUCT((DA$3:DA$105=V75)*(DD$3:DD$105=V77)*DC$3:DC$105)+SUMPRODUCT((DA$3:DA$105=V75)*(DD$3:DD$105=V73)*DC$3:DC$105)+SUMPRODUCT((DA$3:DA$105=V75)*(DD$3:DD$105=V74)*DC$3:DC$105)+SUMPRODUCT((DA$3:DA$105=V76)*(DD$3:DD$105=V75)*DB$3:DB$105)+SUMPRODUCT((DA$3:DA$105=V77)*(DD$3:DD$105=V75)*DB$3:DB$105)+SUMPRODUCT((DA$3:DA$105=V73)*(DD$3:DD$105=V75)*DB$3:DB$105)+SUMPRODUCT((DA$3:DA$105=V74)*(DD$3:DD$105=V75)*DB$3:DB$105)</f>
        <v>0</v>
      </c>
      <c r="AB75" s="231">
        <f>Z75-AA75+1000</f>
        <v>1000</v>
      </c>
      <c r="AC75" s="231">
        <f t="shared" si="156"/>
        <v>0</v>
      </c>
      <c r="AD75" s="231">
        <f>IF(V75&lt;&gt;"",VLOOKUP(V75,C$4:I$76,7,FALSE),"")</f>
        <v>1000</v>
      </c>
      <c r="AE75" s="231">
        <f>IF(V75&lt;&gt;"",VLOOKUP(V75,C$4:I$76,5,FALSE),"")</f>
        <v>0</v>
      </c>
      <c r="AF75" s="231">
        <f>IF(V75&lt;&gt;"",VLOOKUP(V75,C$4:K$76,9,FALSE),"")</f>
        <v>-111</v>
      </c>
      <c r="AG75" s="231">
        <f t="shared" si="157"/>
        <v>0</v>
      </c>
      <c r="AH75" s="231">
        <f>IF(V75&lt;&gt;"",RANK(AG75,AG$73:AG$76),"")</f>
        <v>1</v>
      </c>
      <c r="AI75" s="231">
        <f>IF(V75&lt;&gt;"",SUMPRODUCT((AG$73:AG$76=AG75)*(AB$73:AB$76&gt;AB75)),"")</f>
        <v>0</v>
      </c>
      <c r="AJ75" s="231">
        <f>IF(V75&lt;&gt;"",SUMPRODUCT((AG$73:AG$76=AG75)*(AB$73:AB$76=AB75)*(Z$73:Z$76&gt;Z75)),"")</f>
        <v>0</v>
      </c>
      <c r="AK75" s="231">
        <f>IF(V75&lt;&gt;"",SUMPRODUCT((AG$73:AG$76=AG75)*(AB$73:AB$76=AB75)*(Z$73:Z$76=Z75)*(AD$73:AD$76&gt;AD75)),"")</f>
        <v>0</v>
      </c>
      <c r="AL75" s="231">
        <f>IF(V75&lt;&gt;"",SUMPRODUCT((AG$73:AG$76=AG75)*(AB$73:AB$76=AB75)*(Z$73:Z$76=Z75)*(AD$73:AD$76=AD75)*(AE$73:AE$76&gt;AE75)),"")</f>
        <v>0</v>
      </c>
      <c r="AM75" s="231">
        <f>IF(V75&lt;&gt;"",SUMPRODUCT((AG$73:AG$76=AG75)*(AB$73:AB$76=AB75)*(Z$73:Z$76=Z75)*(AD$73:AD$76=AD75)*(AE$73:AE$76=AE75)*(AF$73:AF$76&gt;AF75)),"")</f>
        <v>1</v>
      </c>
      <c r="AN75" s="231">
        <f>IF(V75&lt;&gt;"",IF(AN154&lt;&gt;"",IF(U151=3,AN154,AN154+U151),SUM(AH75:AM75)),"")</f>
        <v>2</v>
      </c>
      <c r="AO75" s="231" t="str">
        <f>IF(V75&lt;&gt;"",INDEX(V$73:V$76,MATCH(3,AN$73:AN$76,0),0),"")</f>
        <v>Panama</v>
      </c>
      <c r="AP75" s="231" t="str">
        <f>IF(R74&lt;&gt;"",R74,"")</f>
        <v/>
      </c>
      <c r="AQ75" s="231">
        <f>SUMPRODUCT((DA$3:DA$105=AP75)*(DD$3:DD$105=AP76)*(DE$3:DE$105="W"))+SUMPRODUCT((DA$3:DA$105=AP75)*(DD$3:DD$105=AP77)*(DE$3:DE$105="W"))+SUMPRODUCT((DA$3:DA$105=AP75)*(DD$3:DD$105=AP74)*(DE$3:DE$105="W"))+SUMPRODUCT((DA$3:DA$105=AP76)*(DD$3:DD$105=AP75)*(DF$3:DF$105="W"))+SUMPRODUCT((DA$3:DA$105=AP77)*(DD$3:DD$105=AP75)*(DF$3:DF$105="W"))+SUMPRODUCT((DA$3:DA$105=AP74)*(DD$3:DD$105=AP75)*(DF$3:DF$105="W"))</f>
        <v>0</v>
      </c>
      <c r="AR75" s="231">
        <f>SUMPRODUCT((DA$3:DA$105=AP75)*(DD$3:DD$105=AP76)*(DE$3:DE$105="D"))+SUMPRODUCT((DA$3:DA$105=AP75)*(DD$3:DD$105=AP77)*(DE$3:DE$105="D"))+SUMPRODUCT((DA$3:DA$105=AP75)*(DD$3:DD$105=AP74)*(DE$3:DE$105="D"))+SUMPRODUCT((DA$3:DA$105=AP76)*(DD$3:DD$105=AP75)*(DE$3:DE$105="D"))+SUMPRODUCT((DA$3:DA$105=AP77)*(DD$3:DD$105=AP75)*(DE$3:DE$105="D"))+SUMPRODUCT((DA$3:DA$105=AP74)*(DD$3:DD$105=AP75)*(DE$3:DE$105="D"))</f>
        <v>0</v>
      </c>
      <c r="AS75" s="231">
        <f>SUMPRODUCT((DA$3:DA$105=AP75)*(DD$3:DD$105=AP76)*(DE$3:DE$105="L"))+SUMPRODUCT((DA$3:DA$105=AP75)*(DD$3:DD$105=AP77)*(DE$3:DE$105="L"))+SUMPRODUCT((DA$3:DA$105=AP75)*(DD$3:DD$105=AP74)*(DE$3:DE$105="L"))+SUMPRODUCT((DA$3:DA$105=AP76)*(DD$3:DD$105=AP75)*(DF$3:DF$105="L"))+SUMPRODUCT((DA$3:DA$105=AP77)*(DD$3:DD$105=AP75)*(DF$3:DF$105="L"))+SUMPRODUCT((DA$3:DA$105=AP74)*(DD$3:DD$105=AP75)*(DF$3:DF$105="L"))</f>
        <v>0</v>
      </c>
      <c r="AT75" s="231">
        <f>SUMPRODUCT((DA$3:DA$105=AP75)*(DD$3:DD$105=AP76)*DB$3:DB$105)+SUMPRODUCT((DA$3:DA$105=AP75)*(DD$3:DD$105=AP77)*DB$3:DB$105)+SUMPRODUCT((DA$3:DA$105=AP75)*(DD$3:DD$105=AP73)*DB$3:DB$105)+SUMPRODUCT((DA$3:DA$105=AP75)*(DD$3:DD$105=AP74)*DB$3:DB$105)+SUMPRODUCT((DA$3:DA$105=AP76)*(DD$3:DD$105=AP75)*DC$3:DC$105)+SUMPRODUCT((DA$3:DA$105=AP77)*(DD$3:DD$105=AP75)*DC$3:DC$105)+SUMPRODUCT((DA$3:DA$105=AP73)*(DD$3:DD$105=AP75)*DC$3:DC$105)+SUMPRODUCT((DA$3:DA$105=AP74)*(DD$3:DD$105=AP75)*DC$3:DC$105)</f>
        <v>0</v>
      </c>
      <c r="AU75" s="231">
        <f>SUMPRODUCT((DA$3:DA$105=AP75)*(DD$3:DD$105=AP76)*DC$3:DC$105)+SUMPRODUCT((DA$3:DA$105=AP75)*(DD$3:DD$105=AP77)*DC$3:DC$105)+SUMPRODUCT((DA$3:DA$105=AP75)*(DD$3:DD$105=AP73)*DC$3:DC$105)+SUMPRODUCT((DA$3:DA$105=AP75)*(DD$3:DD$105=AP74)*DC$3:DC$105)+SUMPRODUCT((DA$3:DA$105=AP76)*(DD$3:DD$105=AP75)*DB$3:DB$105)+SUMPRODUCT((DA$3:DA$105=AP77)*(DD$3:DD$105=AP75)*DB$3:DB$105)+SUMPRODUCT((DA$3:DA$105=AP73)*(DD$3:DD$105=AP75)*DB$3:DB$105)+SUMPRODUCT((DA$3:DA$105=AP74)*(DD$3:DD$105=AP75)*DB$3:DB$105)</f>
        <v>0</v>
      </c>
      <c r="AV75" s="231">
        <f>AT75-AU75+1000</f>
        <v>1000</v>
      </c>
      <c r="AW75" s="231" t="str">
        <f t="shared" si="161"/>
        <v/>
      </c>
      <c r="AX75" s="231" t="str">
        <f>IF(AP75&lt;&gt;"",VLOOKUP(AP75,C$4:I$76,7,FALSE),"")</f>
        <v/>
      </c>
      <c r="AY75" s="231" t="str">
        <f>IF(AP75&lt;&gt;"",VLOOKUP(AP75,C$4:I$76,5,FALSE),"")</f>
        <v/>
      </c>
      <c r="AZ75" s="231" t="str">
        <f>IF(AP75&lt;&gt;"",VLOOKUP(AP75,C$4:K$76,9,FALSE),"")</f>
        <v/>
      </c>
      <c r="BA75" s="231" t="str">
        <f t="shared" si="162"/>
        <v/>
      </c>
      <c r="BB75" s="231" t="str">
        <f>IF(AP75&lt;&gt;"",RANK(BA75,BA$73:BA$76),"")</f>
        <v/>
      </c>
      <c r="BC75" s="231" t="str">
        <f>IF(AP75&lt;&gt;"",SUMPRODUCT((BA$73:BA$76=BA75)*(AV$73:AV$76&gt;AV75)),"")</f>
        <v/>
      </c>
      <c r="BD75" s="231" t="str">
        <f>IF(AP75&lt;&gt;"",SUMPRODUCT((BA$73:BA$76=BA75)*(AV$73:AV$76=AV75)*(AT$73:AT$76&gt;AT75)),"")</f>
        <v/>
      </c>
      <c r="BE75" s="231" t="str">
        <f>IF(AP75&lt;&gt;"",SUMPRODUCT((BA$73:BA$76=BA75)*(AV$73:AV$76=AV75)*(AT$73:AT$76=AT75)*(AX$73:AX$76&gt;AX75)),"")</f>
        <v/>
      </c>
      <c r="BF75" s="231" t="str">
        <f>IF(AP75&lt;&gt;"",SUMPRODUCT((BA$73:BA$76=BA75)*(AV$73:AV$76=AV75)*(AT$73:AT$76=AT75)*(AX$73:AX$76=AX75)*(AY$73:AY$76&gt;AY75)),"")</f>
        <v/>
      </c>
      <c r="BG75" s="231" t="str">
        <f>IF(AP75&lt;&gt;"",SUMPRODUCT((BA$73:BA$76=BA75)*(AV$73:AV$76=AV75)*(AT$73:AT$76=AT75)*(AX$73:AX$76=AX75)*(AY$73:AY$76=AY75)*(AZ$73:AZ$76&gt;AZ75)),"")</f>
        <v/>
      </c>
      <c r="BH75" s="231" t="str">
        <f>IF(AP75&lt;&gt;"",IF(BH154&lt;&gt;"",IF(AO$151=3,BH154,BH154+AO151),SUM(BB75:BG75)+1),"")</f>
        <v/>
      </c>
      <c r="BI75" s="231" t="str">
        <f>IF(AP75&lt;&gt;"",INDEX(AP$74:AP$77,MATCH(3,BH$74:BH$77,0),0),"")</f>
        <v/>
      </c>
      <c r="BJ75" s="231" t="str">
        <f>IF(S73&lt;&gt;"",S73,"")</f>
        <v/>
      </c>
      <c r="BK75" s="231">
        <f>SUMPRODUCT((DA$3:DA$105=BJ75)*(DD$3:DD$105=BJ76)*(DE$3:DE$105="W"))+SUMPRODUCT((DA$3:DA$105=BJ75)*(DD$3:DD$105=BJ77)*(DE$3:DE$105="W"))+SUMPRODUCT((DA$3:DA$105=BJ75)*(DD$3:DD$105=BJ117)*(DE$3:DE$105="W"))+SUMPRODUCT((DA$3:DA$105=BJ76)*(DD$3:DD$105=BJ75)*(DF$3:DF$105="W"))+SUMPRODUCT((DA$3:DA$105=BJ77)*(DD$3:DD$105=BJ75)*(DF$3:DF$105="W"))+SUMPRODUCT((DA$3:DA$105=BJ117)*(DD$3:DD$105=BJ75)*(DF$3:DF$105="W"))</f>
        <v>0</v>
      </c>
      <c r="BL75" s="231">
        <f>SUMPRODUCT((DA$3:DA$105=BJ75)*(DD$3:DD$105=BJ76)*(DE$3:DE$105="D"))+SUMPRODUCT((DA$3:DA$105=BJ75)*(DD$3:DD$105=BJ77)*(DE$3:DE$105="D"))+SUMPRODUCT((DA$3:DA$105=BJ75)*(DD$3:DD$105=BJ117)*(DE$3:DE$105="D"))+SUMPRODUCT((DA$3:DA$105=BJ76)*(DD$3:DD$105=BJ75)*(DE$3:DE$105="D"))+SUMPRODUCT((DA$3:DA$105=BJ77)*(DD$3:DD$105=BJ75)*(DE$3:DE$105="D"))+SUMPRODUCT((DA$3:DA$105=BJ117)*(DD$3:DD$105=BJ75)*(DE$3:DE$105="D"))</f>
        <v>0</v>
      </c>
      <c r="BM75" s="231">
        <f>SUMPRODUCT((DA$3:DA$105=BJ75)*(DD$3:DD$105=BJ76)*(DE$3:DE$105="L"))+SUMPRODUCT((DA$3:DA$105=BJ75)*(DD$3:DD$105=BJ77)*(DE$3:DE$105="L"))+SUMPRODUCT((DA$3:DA$105=BJ75)*(DD$3:DD$105=BJ117)*(DE$3:DE$105="L"))+SUMPRODUCT((DA$3:DA$105=BJ76)*(DD$3:DD$105=BJ75)*(DF$3:DF$105="L"))+SUMPRODUCT((DA$3:DA$105=BJ77)*(DD$3:DD$105=BJ75)*(DF$3:DF$105="L"))+SUMPRODUCT((DA$3:DA$105=BJ117)*(DD$3:DD$105=BJ75)*(DF$3:DF$105="L"))</f>
        <v>0</v>
      </c>
      <c r="BN75" s="231">
        <f>SUMPRODUCT((DA$3:DA$105=BJ75)*(DD$3:DD$105=BJ76)*DB$3:DB$105)+SUMPRODUCT((DA$3:DA$105=BJ75)*(DD$3:DD$105=BJ77)*DB$3:DB$105)+SUMPRODUCT((DA$3:DA$105=BJ75)*(DD$3:DD$105=BJ73)*DB$3:DB$105)+SUMPRODUCT((DA$3:DA$105=BJ75)*(DD$3:DD$105=BJ74)*DB$3:DB$105)+SUMPRODUCT((DA$3:DA$105=BJ76)*(DD$3:DD$105=BJ75)*DC$3:DC$105)+SUMPRODUCT((DA$3:DA$105=BJ77)*(DD$3:DD$105=BJ75)*DC$3:DC$105)+SUMPRODUCT((DA$3:DA$105=BJ73)*(DD$3:DD$105=BJ75)*DC$3:DC$105)+SUMPRODUCT((DA$3:DA$105=BJ74)*(DD$3:DD$105=BJ75)*DC$3:DC$105)</f>
        <v>0</v>
      </c>
      <c r="BO75" s="231">
        <f>SUMPRODUCT((DA$3:DA$105=BJ75)*(DD$3:DD$105=BJ76)*DC$3:DC$105)+SUMPRODUCT((DA$3:DA$105=BJ75)*(DD$3:DD$105=BJ77)*DC$3:DC$105)+SUMPRODUCT((DA$3:DA$105=BJ75)*(DD$3:DD$105=BJ73)*DC$3:DC$105)+SUMPRODUCT((DA$3:DA$105=BJ75)*(DD$3:DD$105=BJ74)*DC$3:DC$105)+SUMPRODUCT((DA$3:DA$105=BJ76)*(DD$3:DD$105=BJ75)*DB$3:DB$105)+SUMPRODUCT((DA$3:DA$105=BJ77)*(DD$3:DD$105=BJ75)*DB$3:DB$105)+SUMPRODUCT((DA$3:DA$105=BJ73)*(DD$3:DD$105=BJ75)*DB$3:DB$105)+SUMPRODUCT((DA$3:DA$105=BJ74)*(DD$3:DD$105=BJ75)*DB$3:DB$105)</f>
        <v>0</v>
      </c>
      <c r="BP75" s="231">
        <f>BN75-BO75+1000</f>
        <v>1000</v>
      </c>
      <c r="BQ75" s="231" t="str">
        <f t="shared" ref="BQ75:BQ76" si="163">IF(BJ75&lt;&gt;"",BK75*3+BL75*1,"")</f>
        <v/>
      </c>
      <c r="BR75" s="231" t="str">
        <f>IF(BJ75&lt;&gt;"",VLOOKUP(BJ75,C$4:I$76,7,FALSE),"")</f>
        <v/>
      </c>
      <c r="BS75" s="231" t="str">
        <f>IF(BJ75&lt;&gt;"",VLOOKUP(BJ75,C$4:I$76,5,FALSE),"")</f>
        <v/>
      </c>
      <c r="BT75" s="231" t="str">
        <f>IF(BJ75&lt;&gt;"",VLOOKUP(BJ75,C$4:K$76,9,FALSE),"")</f>
        <v/>
      </c>
      <c r="BU75" s="231" t="str">
        <f t="shared" ref="BU75:BU76" si="164">BQ75</f>
        <v/>
      </c>
      <c r="BV75" s="231" t="str">
        <f>IF(BJ75&lt;&gt;"",RANK(BU75,BU$74:BU$76),"")</f>
        <v/>
      </c>
      <c r="BW75" s="231" t="str">
        <f>IF(BJ75&lt;&gt;"",SUMPRODUCT((BU$73:BU$76=BU75)*(BP$73:BP$76&gt;BP75)),"")</f>
        <v/>
      </c>
      <c r="BX75" s="231" t="str">
        <f>IF(BJ75&lt;&gt;"",SUMPRODUCT((BU$73:BU$76=BU75)*(BP$73:BP$76=BP75)*(BN$73:BN$76&gt;BN75)),"")</f>
        <v/>
      </c>
      <c r="BY75" s="231" t="str">
        <f>IF(BJ75&lt;&gt;"",SUMPRODUCT((BU$73:BU$76=BU75)*(BP$73:BP$76=BP75)*(BN$73:BN$76=BN75)*(BR$73:BR$76&gt;BR75)),"")</f>
        <v/>
      </c>
      <c r="BZ75" s="231" t="str">
        <f>IF(BJ75&lt;&gt;"",SUMPRODUCT((BU$73:BU$76=BU75)*(BP$73:BP$76=BP75)*(BN$73:BN$76=BN75)*(BR$73:BR$76=BR75)*(BS$73:BS$76&gt;BS75)),"")</f>
        <v/>
      </c>
      <c r="CA75" s="231" t="str">
        <f>IF(BJ75&lt;&gt;"",SUMPRODUCT((BU$73:BU$76=BU75)*(BP$73:BP$76=BP75)*(BN$73:BN$76=BN75)*(BR$73:BR$76=BR75)*(BS$73:BS$76=BS75)*(BT$73:BT$76&gt;BT75)),"")</f>
        <v/>
      </c>
      <c r="CB75" s="231" t="str">
        <f>IF(BJ75&lt;&gt;"",SUM(BV75:CA75)+2,"")</f>
        <v/>
      </c>
      <c r="CC75" s="231" t="str">
        <f>IF(BJ75&lt;&gt;"",INDEX(BJ$75:BJ$77,MATCH(3,CB$75:CB$77,0),0),"")</f>
        <v/>
      </c>
      <c r="CX75" s="231" t="str">
        <f>IF(CC75&lt;&gt;"",CC75,IF(BI75&lt;&gt;"",BI75,IF(AO75&lt;&gt;"",AO75,O75)))</f>
        <v>Panama</v>
      </c>
      <c r="CY75" s="231">
        <v>3</v>
      </c>
      <c r="DA75" s="234"/>
      <c r="DB75" s="234"/>
      <c r="DC75" s="234"/>
      <c r="DD75" s="234"/>
      <c r="DE75" s="234"/>
      <c r="DS75" s="233" t="str">
        <f>Matches!H96</f>
        <v>Match 79 Winner</v>
      </c>
      <c r="DU75" s="233" t="str">
        <f>IF(ISERROR("Calculator!"&amp;VLOOKUP(DS75,Calculator!$DS$7:$DT$54,2,FALSE)),"Calculator!dr77","Calculator!"&amp;VLOOKUP(DS75,Calculator!$DS$7:$DT$54,2,FALSE))</f>
        <v>Calculator!dr77</v>
      </c>
      <c r="DX75" s="230"/>
      <c r="DY75" s="243">
        <v>68</v>
      </c>
      <c r="DZ75" s="244">
        <f t="shared" si="158"/>
        <v>46200.708333333336</v>
      </c>
      <c r="EA75" s="247">
        <v>46200.708333333336</v>
      </c>
      <c r="EB75" s="246">
        <f t="shared" si="75"/>
        <v>46200.708333333336</v>
      </c>
      <c r="EC75" s="230"/>
    </row>
    <row r="76" spans="1:133" x14ac:dyDescent="0.25">
      <c r="A76" s="230">
        <f>Setup!F55+100</f>
        <v>133</v>
      </c>
      <c r="B76" s="231">
        <f>VLOOKUP(C76,CX$73:CY$76,2,FALSE)</f>
        <v>3</v>
      </c>
      <c r="C76" s="232" t="str">
        <f t="shared" si="159"/>
        <v>Panama</v>
      </c>
      <c r="D76" s="231">
        <f>SUMPRODUCT((DA$3:DA$105=C76)*(DE$3:DE$105="W"))+SUMPRODUCT((DD$3:DD$105=C76)*(DF$3:DF$105="W"))</f>
        <v>0</v>
      </c>
      <c r="E76" s="231">
        <f>SUMPRODUCT((DA$3:DA$105=C76)*(DE$3:DE$105="D"))+SUMPRODUCT((DD$3:DD$105=C76)*(DF$3:DF$105="D"))</f>
        <v>0</v>
      </c>
      <c r="F76" s="231">
        <f>SUMPRODUCT((DA$3:DA$105=C76)*(DE$3:DE$105="L"))+SUMPRODUCT((DD$3:DD$105=C76)*(DF$3:DF$105="L"))</f>
        <v>0</v>
      </c>
      <c r="G76" s="231">
        <f>SUMIF(DA$3:DA$123,C76,DB$3:DB$123)+SUMIF(DD$3:DD$123,C76,DC$3:DC$123)</f>
        <v>0</v>
      </c>
      <c r="H76" s="231">
        <f>SUMIF(DD$3:DD$123,C76,DB$3:DB$123)+SUMIF(DA$3:DA$123,C76,DC$3:DC$123)</f>
        <v>0</v>
      </c>
      <c r="I76" s="231">
        <f t="shared" si="154"/>
        <v>1000</v>
      </c>
      <c r="J76" s="231">
        <f t="shared" si="155"/>
        <v>0</v>
      </c>
      <c r="K76" s="231">
        <f>IF(Setup!G55&lt;&gt;"",Setup!G55,-A76)</f>
        <v>-133</v>
      </c>
      <c r="L76" s="231">
        <f>IF(COUNTIF(J$73:J$76,4)&lt;&gt;4,RANK(J76,J$73:J$76),J155)</f>
        <v>1</v>
      </c>
      <c r="N76" s="231">
        <f>SUMPRODUCT((L$73:L$76=L76)*(K$73:K$76&lt;K76))+L76</f>
        <v>2</v>
      </c>
      <c r="O76" s="232" t="str">
        <f>INDEX(C$73:C$76,MATCH(4,N$73:N$76,0),0)</f>
        <v>England</v>
      </c>
      <c r="P76" s="231">
        <f>INDEX(L$73:L$76,MATCH(O76,C$73:C$76,0),0)</f>
        <v>1</v>
      </c>
      <c r="Q76" s="231" t="str">
        <f>IF(AND(Q75&lt;&gt;"",P76=1),O76,"")</f>
        <v>England</v>
      </c>
      <c r="R76" s="231" t="str">
        <f>IF(AND(R75&lt;&gt;"",P77=2),O77,"")</f>
        <v/>
      </c>
      <c r="V76" s="231" t="str">
        <f t="shared" si="160"/>
        <v>England</v>
      </c>
      <c r="W76" s="231">
        <f>SUMPRODUCT((DA$3:DA$105=V76)*(DD$3:DD$105=V77)*(DE$3:DE$105="W"))+SUMPRODUCT((DA$3:DA$105=V76)*(DD$3:DD$105=V73)*(DE$3:DE$105="W"))+SUMPRODUCT((DA$3:DA$105=V76)*(DD$3:DD$105=V74)*(DE$3:DE$105="W"))+SUMPRODUCT((DA$3:DA$105=V76)*(DD$3:DD$105=V75)*(DE$3:DE$105="W"))+SUMPRODUCT((DA$3:DA$105=V77)*(DD$3:DD$105=V76)*(DF$3:DF$105="W"))+SUMPRODUCT((DA$3:DA$105=V73)*(DD$3:DD$105=V76)*(DF$3:DF$105="W"))+SUMPRODUCT((DA$3:DA$105=V74)*(DD$3:DD$105=V76)*(DF$3:DF$105="W"))+SUMPRODUCT((DA$3:DA$105=V75)*(DD$3:DD$105=V76)*(DF$3:DF$105="W"))</f>
        <v>0</v>
      </c>
      <c r="X76" s="231">
        <f>SUMPRODUCT((DA$3:DA$105=V76)*(DD$3:DD$105=V77)*(DE$3:DE$105="D"))+SUMPRODUCT((DA$3:DA$105=V76)*(DD$3:DD$105=V73)*(DE$3:DE$105="D"))+SUMPRODUCT((DA$3:DA$105=V76)*(DD$3:DD$105=V74)*(DE$3:DE$105="D"))+SUMPRODUCT((DA$3:DA$105=V76)*(DD$3:DD$105=V75)*(DE$3:DE$105="D"))+SUMPRODUCT((DA$3:DA$105=V77)*(DD$3:DD$105=V76)*(DE$3:DE$105="D"))+SUMPRODUCT((DA$3:DA$105=V73)*(DD$3:DD$105=V76)*(DE$3:DE$105="D"))+SUMPRODUCT((DA$3:DA$105=V74)*(DD$3:DD$105=V76)*(DE$3:DE$105="D"))+SUMPRODUCT((DA$3:DA$105=V75)*(DD$3:DD$105=V76)*(DE$3:DE$105="D"))</f>
        <v>0</v>
      </c>
      <c r="Y76" s="231">
        <f>SUMPRODUCT((DA$3:DA$105=V76)*(DD$3:DD$105=V77)*(DE$3:DE$105="L"))+SUMPRODUCT((DA$3:DA$105=V76)*(DD$3:DD$105=V73)*(DE$3:DE$105="L"))+SUMPRODUCT((DA$3:DA$105=V76)*(DD$3:DD$105=V74)*(DE$3:DE$105="L"))+SUMPRODUCT((DA$3:DA$105=V76)*(DD$3:DD$105=V75)*(DE$3:DE$105="L"))+SUMPRODUCT((DA$3:DA$105=V77)*(DD$3:DD$105=V76)*(DF$3:DF$105="L"))+SUMPRODUCT((DA$3:DA$105=V73)*(DD$3:DD$105=V76)*(DF$3:DF$105="L"))+SUMPRODUCT((DA$3:DA$105=V74)*(DD$3:DD$105=V76)*(DF$3:DF$105="L"))+SUMPRODUCT((DA$3:DA$105=V75)*(DD$3:DD$105=V76)*(DF$3:DF$105="L"))</f>
        <v>0</v>
      </c>
      <c r="Z76" s="231">
        <f>SUMPRODUCT((DA$3:DA$105=V76)*(DD$3:DD$105=V77)*DB$3:DB$105)+SUMPRODUCT((DA$3:DA$105=V76)*(DD$3:DD$105=V73)*DB$3:DB$105)+SUMPRODUCT((DA$3:DA$105=V76)*(DD$3:DD$105=V74)*DB$3:DB$105)+SUMPRODUCT((DA$3:DA$105=V76)*(DD$3:DD$105=V75)*DB$3:DB$105)+SUMPRODUCT((DA$3:DA$105=V77)*(DD$3:DD$105=V76)*DC$3:DC$105)+SUMPRODUCT((DA$3:DA$105=V73)*(DD$3:DD$105=V76)*DC$3:DC$105)+SUMPRODUCT((DA$3:DA$105=V74)*(DD$3:DD$105=V76)*DC$3:DC$105)+SUMPRODUCT((DA$3:DA$105=V75)*(DD$3:DD$105=V76)*DC$3:DC$105)</f>
        <v>0</v>
      </c>
      <c r="AA76" s="231">
        <f>SUMPRODUCT((DA$3:DA$105=V76)*(DD$3:DD$105=V77)*DC$3:DC$105)+SUMPRODUCT((DA$3:DA$105=V76)*(DD$3:DD$105=V73)*DC$3:DC$105)+SUMPRODUCT((DA$3:DA$105=V76)*(DD$3:DD$105=V74)*DC$3:DC$105)+SUMPRODUCT((DA$3:DA$105=V76)*(DD$3:DD$105=V75)*DC$3:DC$105)+SUMPRODUCT((DA$3:DA$105=V77)*(DD$3:DD$105=V76)*DB$3:DB$105)+SUMPRODUCT((DA$3:DA$105=V73)*(DD$3:DD$105=V76)*DB$3:DB$105)+SUMPRODUCT((DA$3:DA$105=V74)*(DD$3:DD$105=V76)*DB$3:DB$105)+SUMPRODUCT((DA$3:DA$105=V75)*(DD$3:DD$105=V76)*DB$3:DB$105)</f>
        <v>0</v>
      </c>
      <c r="AB76" s="231">
        <f>Z76-AA76+1000</f>
        <v>1000</v>
      </c>
      <c r="AC76" s="231">
        <f t="shared" si="156"/>
        <v>0</v>
      </c>
      <c r="AD76" s="231">
        <f>IF(V76&lt;&gt;"",VLOOKUP(V76,C$4:I$76,7,FALSE),"")</f>
        <v>1000</v>
      </c>
      <c r="AE76" s="231">
        <f>IF(V76&lt;&gt;"",VLOOKUP(V76,C$4:I$76,5,FALSE),"")</f>
        <v>0</v>
      </c>
      <c r="AF76" s="231">
        <f>IF(V76&lt;&gt;"",VLOOKUP(V76,C$4:K$76,9,FALSE),"")</f>
        <v>-104</v>
      </c>
      <c r="AG76" s="231">
        <f t="shared" si="157"/>
        <v>0</v>
      </c>
      <c r="AH76" s="231">
        <f>IF(V76&lt;&gt;"",RANK(AG76,AG$73:AG$76),"")</f>
        <v>1</v>
      </c>
      <c r="AI76" s="231">
        <f>IF(V76&lt;&gt;"",SUMPRODUCT((AG$73:AG$76=AG76)*(AB$73:AB$76&gt;AB76)),"")</f>
        <v>0</v>
      </c>
      <c r="AJ76" s="231">
        <f>IF(V76&lt;&gt;"",SUMPRODUCT((AG$73:AG$76=AG76)*(AB$73:AB$76=AB76)*(Z$73:Z$76&gt;Z76)),"")</f>
        <v>0</v>
      </c>
      <c r="AK76" s="231">
        <f>IF(V76&lt;&gt;"",SUMPRODUCT((AG$73:AG$76=AG76)*(AB$73:AB$76=AB76)*(Z$73:Z$76=Z76)*(AD$73:AD$76&gt;AD76)),"")</f>
        <v>0</v>
      </c>
      <c r="AL76" s="231">
        <f>IF(V76&lt;&gt;"",SUMPRODUCT((AG$73:AG$76=AG76)*(AB$73:AB$76=AB76)*(Z$73:Z$76=Z76)*(AD$73:AD$76=AD76)*(AE$73:AE$76&gt;AE76)),"")</f>
        <v>0</v>
      </c>
      <c r="AM76" s="231">
        <f>IF(V76&lt;&gt;"",SUMPRODUCT((AG$73:AG$76=AG76)*(AB$73:AB$76=AB76)*(Z$73:Z$76=Z76)*(AD$73:AD$76=AD76)*(AE$73:AE$76=AE76)*(AF$73:AF$76&gt;AF76)),"")</f>
        <v>0</v>
      </c>
      <c r="AN76" s="231">
        <f>IF(V76&lt;&gt;"",IF(AN155&lt;&gt;"",IF(U151=3,AN155,AN155+U151),SUM(AH76:AM76)),"")</f>
        <v>1</v>
      </c>
      <c r="AO76" s="231" t="str">
        <f>IF(V76&lt;&gt;"",INDEX(V$73:V$76,MATCH(4,AN$73:AN$76,0),0),"")</f>
        <v>Ghana</v>
      </c>
      <c r="AP76" s="231" t="str">
        <f>IF(R75&lt;&gt;"",R75,"")</f>
        <v/>
      </c>
      <c r="AQ76" s="231" t="str">
        <f>IF(AP76&lt;&gt;"",SUMPRODUCT((DA$3:DA$105=AP76)*(DD$3:DD$105=AP77)*(DE$3:DE$105="W"))+SUMPRODUCT((DA$3:DA$105=AP76)*(DD$3:DD$105=AP74)*(DE$3:DE$105="W"))+SUMPRODUCT((DA$3:DA$105=AP76)*(DD$3:DD$105=AP75)*(DE$3:DE$105="W"))+SUMPRODUCT((DA$3:DA$105=AP77)*(DD$3:DD$105=AP76)*(DF$3:DF$105="W"))+SUMPRODUCT((DA$3:DA$105=AP74)*(DD$3:DD$105=AP76)*(DF$3:DF$105="W"))+SUMPRODUCT((DA$3:DA$105=AP75)*(DD$3:DD$105=AP76)*(DF$3:DF$105="W")),"")</f>
        <v/>
      </c>
      <c r="AR76" s="231" t="str">
        <f>IF(AP76&lt;&gt;"",SUMPRODUCT((DA$3:DA$105=AP76)*(DD$3:DD$105=AP77)*(DE$3:DE$105="D"))+SUMPRODUCT((DA$3:DA$105=AP76)*(DD$3:DD$105=AP74)*(DE$3:DE$105="D"))+SUMPRODUCT((DA$3:DA$105=AP76)*(DD$3:DD$105=AP75)*(DE$3:DE$105="D"))+SUMPRODUCT((DA$3:DA$105=AP77)*(DD$3:DD$105=AP76)*(DE$3:DE$105="D"))+SUMPRODUCT((DA$3:DA$105=AP74)*(DD$3:DD$105=AP76)*(DE$3:DE$105="D"))+SUMPRODUCT((DA$3:DA$105=AP75)*(DD$3:DD$105=AP76)*(DE$3:DE$105="D")),"")</f>
        <v/>
      </c>
      <c r="AS76" s="231" t="str">
        <f>IF(AP76&lt;&gt;"",SUMPRODUCT((DA$3:DA$105=AP76)*(DD$3:DD$105=AP77)*(DE$3:DE$105="L"))+SUMPRODUCT((DA$3:DA$105=AP76)*(DD$3:DD$105=AP74)*(DE$3:DE$105="L"))+SUMPRODUCT((DA$3:DA$105=AP76)*(DD$3:DD$105=AP75)*(DE$3:DE$105="L"))+SUMPRODUCT((DA$3:DA$105=AP77)*(DD$3:DD$105=AP76)*(DF$3:DF$105="L"))+SUMPRODUCT((DA$3:DA$105=AP74)*(DD$3:DD$105=AP76)*(DF$3:DF$105="L"))+SUMPRODUCT((DA$3:DA$105=AP75)*(DD$3:DD$105=AP76)*(DF$3:DF$105="L")),"")</f>
        <v/>
      </c>
      <c r="AT76" s="231">
        <f>SUMPRODUCT((DA$3:DA$105=AP76)*(DD$3:DD$105=AP77)*DB$3:DB$105)+SUMPRODUCT((DA$3:DA$105=AP76)*(DD$3:DD$105=AP73)*DB$3:DB$105)+SUMPRODUCT((DA$3:DA$105=AP76)*(DD$3:DD$105=AP74)*DB$3:DB$105)+SUMPRODUCT((DA$3:DA$105=AP76)*(DD$3:DD$105=AP75)*DB$3:DB$105)+SUMPRODUCT((DA$3:DA$105=AP77)*(DD$3:DD$105=AP76)*DC$3:DC$105)+SUMPRODUCT((DA$3:DA$105=AP73)*(DD$3:DD$105=AP76)*DC$3:DC$105)+SUMPRODUCT((DA$3:DA$105=AP74)*(DD$3:DD$105=AP76)*DC$3:DC$105)+SUMPRODUCT((DA$3:DA$105=AP75)*(DD$3:DD$105=AP76)*DC$3:DC$105)</f>
        <v>0</v>
      </c>
      <c r="AU76" s="231">
        <f>SUMPRODUCT((DA$3:DA$105=AP76)*(DD$3:DD$105=AP77)*DC$3:DC$105)+SUMPRODUCT((DA$3:DA$105=AP76)*(DD$3:DD$105=AP73)*DC$3:DC$105)+SUMPRODUCT((DA$3:DA$105=AP76)*(DD$3:DD$105=AP74)*DC$3:DC$105)+SUMPRODUCT((DA$3:DA$105=AP76)*(DD$3:DD$105=AP75)*DC$3:DC$105)+SUMPRODUCT((DA$3:DA$105=AP77)*(DD$3:DD$105=AP76)*DB$3:DB$105)+SUMPRODUCT((DA$3:DA$105=AP73)*(DD$3:DD$105=AP76)*DB$3:DB$105)+SUMPRODUCT((DA$3:DA$105=AP74)*(DD$3:DD$105=AP76)*DB$3:DB$105)+SUMPRODUCT((DA$3:DA$105=AP75)*(DD$3:DD$105=AP76)*DB$3:DB$105)</f>
        <v>0</v>
      </c>
      <c r="AV76" s="231">
        <f>AT76-AU76+1000</f>
        <v>1000</v>
      </c>
      <c r="AW76" s="231" t="str">
        <f t="shared" si="161"/>
        <v/>
      </c>
      <c r="AX76" s="231" t="str">
        <f>IF(AP76&lt;&gt;"",VLOOKUP(AP76,C$4:I$76,7,FALSE),"")</f>
        <v/>
      </c>
      <c r="AY76" s="231" t="str">
        <f>IF(AP76&lt;&gt;"",VLOOKUP(AP76,C$4:I$76,5,FALSE),"")</f>
        <v/>
      </c>
      <c r="AZ76" s="231" t="str">
        <f>IF(AP76&lt;&gt;"",VLOOKUP(AP76,C$4:K$76,9,FALSE),"")</f>
        <v/>
      </c>
      <c r="BA76" s="231" t="str">
        <f t="shared" si="162"/>
        <v/>
      </c>
      <c r="BB76" s="231" t="str">
        <f>IF(AP76&lt;&gt;"",RANK(BA76,BA$73:BA$76),"")</f>
        <v/>
      </c>
      <c r="BC76" s="231" t="str">
        <f>IF(AP76&lt;&gt;"",SUMPRODUCT((BA$73:BA$76=BA76)*(AV$73:AV$76&gt;AV76)),"")</f>
        <v/>
      </c>
      <c r="BD76" s="231" t="str">
        <f>IF(AP76&lt;&gt;"",SUMPRODUCT((BA$73:BA$76=BA76)*(AV$73:AV$76=AV76)*(AT$73:AT$76&gt;AT76)),"")</f>
        <v/>
      </c>
      <c r="BE76" s="231" t="str">
        <f>IF(AP76&lt;&gt;"",SUMPRODUCT((BA$73:BA$76=BA76)*(AV$73:AV$76=AV76)*(AT$73:AT$76=AT76)*(AX$73:AX$76&gt;AX76)),"")</f>
        <v/>
      </c>
      <c r="BF76" s="231" t="str">
        <f>IF(AP76&lt;&gt;"",SUMPRODUCT((BA$73:BA$76=BA76)*(AV$73:AV$76=AV76)*(AT$73:AT$76=AT76)*(AX$73:AX$76=AX76)*(AY$73:AY$76&gt;AY76)),"")</f>
        <v/>
      </c>
      <c r="BG76" s="231" t="str">
        <f>IF(AP76&lt;&gt;"",SUMPRODUCT((BA$73:BA$76=BA76)*(AV$73:AV$76=AV76)*(AT$73:AT$76=AT76)*(AX$73:AX$76=AX76)*(AY$73:AY$76=AY76)*(AZ$73:AZ$76&gt;AZ76)),"")</f>
        <v/>
      </c>
      <c r="BH76" s="231" t="str">
        <f>IF(AP76&lt;&gt;"",IF(BH155&lt;&gt;"",IF(AO$151=3,BH155,BH155+AO151),SUM(BB76:BG76)+1),"")</f>
        <v/>
      </c>
      <c r="BI76" s="231" t="str">
        <f>IF(AP76&lt;&gt;"",INDEX(AP$74:AP$77,MATCH(4,BH$74:BH$77,0),0),"")</f>
        <v/>
      </c>
      <c r="BJ76" s="231" t="str">
        <f>IF(S74&lt;&gt;"",S74,"")</f>
        <v/>
      </c>
      <c r="BK76" s="231">
        <f>SUMPRODUCT((DA$3:DA$105=BJ76)*(DD$3:DD$105=BJ77)*(DE$3:DE$105="W"))+SUMPRODUCT((DA$3:DA$105=BJ76)*(DD$3:DD$105=BJ117)*(DE$3:DE$105="W"))+SUMPRODUCT((DA$3:DA$105=BJ76)*(DD$3:DD$105=BJ75)*(DE$3:DE$105="W"))+SUMPRODUCT((DA$3:DA$105=BJ77)*(DD$3:DD$105=BJ76)*(DF$3:DF$105="W"))+SUMPRODUCT((DA$3:DA$105=BJ117)*(DD$3:DD$105=BJ76)*(DF$3:DF$105="W"))+SUMPRODUCT((DA$3:DA$105=BJ75)*(DD$3:DD$105=BJ76)*(DF$3:DF$105="W"))</f>
        <v>0</v>
      </c>
      <c r="BL76" s="231">
        <f>SUMPRODUCT((DA$3:DA$105=BJ76)*(DD$3:DD$105=BJ77)*(DE$3:DE$105="D"))+SUMPRODUCT((DA$3:DA$105=BJ76)*(DD$3:DD$105=BJ117)*(DE$3:DE$105="D"))+SUMPRODUCT((DA$3:DA$105=BJ76)*(DD$3:DD$105=BJ75)*(DE$3:DE$105="D"))+SUMPRODUCT((DA$3:DA$105=BJ77)*(DD$3:DD$105=BJ76)*(DE$3:DE$105="D"))+SUMPRODUCT((DA$3:DA$105=BJ117)*(DD$3:DD$105=BJ76)*(DE$3:DE$105="D"))+SUMPRODUCT((DA$3:DA$105=BJ75)*(DD$3:DD$105=BJ76)*(DE$3:DE$105="D"))</f>
        <v>0</v>
      </c>
      <c r="BM76" s="231">
        <f>SUMPRODUCT((DA$3:DA$105=BJ76)*(DD$3:DD$105=BJ77)*(DE$3:DE$105="L"))+SUMPRODUCT((DA$3:DA$105=BJ76)*(DD$3:DD$105=BJ117)*(DE$3:DE$105="L"))+SUMPRODUCT((DA$3:DA$105=BJ76)*(DD$3:DD$105=BJ75)*(DE$3:DE$105="L"))+SUMPRODUCT((DA$3:DA$105=BJ77)*(DD$3:DD$105=BJ76)*(DF$3:DF$105="L"))+SUMPRODUCT((DA$3:DA$105=BJ117)*(DD$3:DD$105=BJ76)*(DF$3:DF$105="L"))+SUMPRODUCT((DA$3:DA$105=BJ75)*(DD$3:DD$105=BJ76)*(DF$3:DF$105="L"))</f>
        <v>0</v>
      </c>
      <c r="BN76" s="231">
        <f>SUMPRODUCT((DA$3:DA$105=BJ76)*(DD$3:DD$105=BJ77)*DB$3:DB$105)+SUMPRODUCT((DA$3:DA$105=BJ76)*(DD$3:DD$105=BJ73)*DB$3:DB$105)+SUMPRODUCT((DA$3:DA$105=BJ76)*(DD$3:DD$105=BJ74)*DB$3:DB$105)+SUMPRODUCT((DA$3:DA$105=BJ76)*(DD$3:DD$105=BJ75)*DB$3:DB$105)+SUMPRODUCT((DA$3:DA$105=BJ77)*(DD$3:DD$105=BJ76)*DC$3:DC$105)+SUMPRODUCT((DA$3:DA$105=BJ73)*(DD$3:DD$105=BJ76)*DC$3:DC$105)+SUMPRODUCT((DA$3:DA$105=BJ74)*(DD$3:DD$105=BJ76)*DC$3:DC$105)+SUMPRODUCT((DA$3:DA$105=BJ75)*(DD$3:DD$105=BJ76)*DC$3:DC$105)</f>
        <v>0</v>
      </c>
      <c r="BO76" s="231">
        <f>SUMPRODUCT((DA$3:DA$105=BJ76)*(DD$3:DD$105=BJ77)*DC$3:DC$105)+SUMPRODUCT((DA$3:DA$105=BJ76)*(DD$3:DD$105=BJ73)*DC$3:DC$105)+SUMPRODUCT((DA$3:DA$105=BJ76)*(DD$3:DD$105=BJ74)*DC$3:DC$105)+SUMPRODUCT((DA$3:DA$105=BJ76)*(DD$3:DD$105=BJ75)*DC$3:DC$105)+SUMPRODUCT((DA$3:DA$105=BJ77)*(DD$3:DD$105=BJ76)*DB$3:DB$105)+SUMPRODUCT((DA$3:DA$105=BJ73)*(DD$3:DD$105=BJ76)*DB$3:DB$105)+SUMPRODUCT((DA$3:DA$105=BJ74)*(DD$3:DD$105=BJ76)*DB$3:DB$105)+SUMPRODUCT((DA$3:DA$105=BJ75)*(DD$3:DD$105=BJ76)*DB$3:DB$105)</f>
        <v>0</v>
      </c>
      <c r="BP76" s="231">
        <f>BN76-BO76+1000</f>
        <v>1000</v>
      </c>
      <c r="BQ76" s="231" t="str">
        <f t="shared" si="163"/>
        <v/>
      </c>
      <c r="BR76" s="231" t="str">
        <f>IF(BJ76&lt;&gt;"",VLOOKUP(BJ76,C$4:I$76,7,FALSE),"")</f>
        <v/>
      </c>
      <c r="BS76" s="231" t="str">
        <f>IF(BJ76&lt;&gt;"",VLOOKUP(BJ76,C$4:I$76,5,FALSE),"")</f>
        <v/>
      </c>
      <c r="BT76" s="231" t="str">
        <f>IF(BJ76&lt;&gt;"",VLOOKUP(BJ76,C$4:K$76,9,FALSE),"")</f>
        <v/>
      </c>
      <c r="BU76" s="231" t="str">
        <f t="shared" si="164"/>
        <v/>
      </c>
      <c r="BV76" s="231" t="str">
        <f>IF(BJ76&lt;&gt;"",RANK(BU76,BU$74:BU$76),"")</f>
        <v/>
      </c>
      <c r="BW76" s="231" t="str">
        <f>IF(BJ76&lt;&gt;"",SUMPRODUCT((BU$73:BU$76=BU76)*(BP$73:BP$76&gt;BP76)),"")</f>
        <v/>
      </c>
      <c r="BX76" s="231" t="str">
        <f>IF(BJ76&lt;&gt;"",SUMPRODUCT((BU$73:BU$76=BU76)*(BP$73:BP$76=BP76)*(BN$73:BN$76&gt;BN76)),"")</f>
        <v/>
      </c>
      <c r="BY76" s="231" t="str">
        <f>IF(BJ76&lt;&gt;"",SUMPRODUCT((BU$73:BU$76=BU76)*(BP$73:BP$76=BP76)*(BN$73:BN$76=BN76)*(BR$73:BR$76&gt;BR76)),"")</f>
        <v/>
      </c>
      <c r="BZ76" s="231" t="str">
        <f>IF(BJ76&lt;&gt;"",SUMPRODUCT((BU$73:BU$76=BU76)*(BP$73:BP$76=BP76)*(BN$73:BN$76=BN76)*(BR$73:BR$76=BR76)*(BS$73:BS$76&gt;BS76)),"")</f>
        <v/>
      </c>
      <c r="CA76" s="231" t="str">
        <f>IF(BJ76&lt;&gt;"",SUMPRODUCT((BU$73:BU$76=BU76)*(BP$73:BP$76=BP76)*(BN$73:BN$76=BN76)*(BR$73:BR$76=BR76)*(BS$73:BS$76=BS76)*(BT$73:BT$76&gt;BT76)),"")</f>
        <v/>
      </c>
      <c r="CB76" s="231" t="str">
        <f>IF(BJ76&lt;&gt;"",SUM(BV76:CA76)+2,"")</f>
        <v/>
      </c>
      <c r="CC76" s="231" t="str">
        <f>IF(BJ76&lt;&gt;"",INDEX(BJ$75:BJ$77,MATCH(4,CB$75:CB$77,0),0),"")</f>
        <v/>
      </c>
      <c r="CD76" s="231" t="str">
        <f>IF(T73&lt;&gt;"",T73,"")</f>
        <v/>
      </c>
      <c r="CE76" s="231">
        <f>SUMPRODUCT((DA$3:DA$105=CD76)*(DD$3:DD$105=CD77)*(DE$3:DE$105="W"))+SUMPRODUCT((DA$3:DA$105=CD76)*(DD$3:DD$105=CD117)*(DE$3:DE$105="W"))+SUMPRODUCT((DA$3:DA$105=CD76)*(DD$3:DD$105=CD118)*(DE$3:DE$105="W"))+SUMPRODUCT((DA$3:DA$105=CD77)*(DD$3:DD$105=CD76)*(DF$3:DF$105="W"))+SUMPRODUCT((DA$3:DA$105=CD117)*(DD$3:DD$105=CD76)*(DF$3:DF$105="W"))+SUMPRODUCT((DA$3:DA$105=CD118)*(DD$3:DD$105=CD76)*(DF$3:DF$105="W"))</f>
        <v>0</v>
      </c>
      <c r="CF76" s="231">
        <f>SUMPRODUCT((DA$3:DA$105=CD76)*(DD$3:DD$105=CD77)*(DE$3:DE$105="D"))+SUMPRODUCT((DA$3:DA$105=CD76)*(DD$3:DD$105=CD117)*(DE$3:DE$105="D"))+SUMPRODUCT((DA$3:DA$105=CD76)*(DD$3:DD$105=CD118)*(DE$3:DE$105="D"))+SUMPRODUCT((DA$3:DA$105=CD77)*(DD$3:DD$105=CD76)*(DE$3:DE$105="D"))+SUMPRODUCT((DA$3:DA$105=CD117)*(DD$3:DD$105=CD76)*(DE$3:DE$105="D"))+SUMPRODUCT((DA$3:DA$105=CD118)*(DD$3:DD$105=CD76)*(DE$3:DE$105="D"))</f>
        <v>0</v>
      </c>
      <c r="CG76" s="231">
        <f>SUMPRODUCT((DA$3:DA$105=CD76)*(DD$3:DD$105=CD77)*(DE$3:DE$105="L"))+SUMPRODUCT((DA$3:DA$105=CD76)*(DD$3:DD$105=CD117)*(DE$3:DE$105="L"))+SUMPRODUCT((DA$3:DA$105=CD76)*(DD$3:DD$105=CD118)*(DE$3:DE$105="L"))+SUMPRODUCT((DA$3:DA$105=CD77)*(DD$3:DD$105=CD76)*(DF$3:DF$105="L"))+SUMPRODUCT((DA$3:DA$105=CD117)*(DD$3:DD$105=CD76)*(DF$3:DF$105="L"))+SUMPRODUCT((DA$3:DA$105=CD118)*(DD$3:DD$105=CD76)*(DF$3:DF$105="L"))</f>
        <v>0</v>
      </c>
      <c r="CH76" s="231">
        <f>SUMPRODUCT((DA$3:DA$105=CD76)*(DD$3:DD$105=CD77)*DB$3:DB$105)+SUMPRODUCT((DA$3:DA$105=CD76)*(DD$3:DD$105=CD73)*DB$3:DB$105)+SUMPRODUCT((DA$3:DA$105=CD76)*(DD$3:DD$105=CD74)*DB$3:DB$105)+SUMPRODUCT((DA$3:DA$105=CD76)*(DD$3:DD$105=CD75)*DB$3:DB$105)+SUMPRODUCT((DA$3:DA$105=CD77)*(DD$3:DD$105=CD76)*DC$3:DC$105)+SUMPRODUCT((DA$3:DA$105=CD73)*(DD$3:DD$105=CD76)*DC$3:DC$105)+SUMPRODUCT((DA$3:DA$105=CD74)*(DD$3:DD$105=CD76)*DC$3:DC$105)+SUMPRODUCT((DA$3:DA$105=CD75)*(DD$3:DD$105=CD76)*DC$3:DC$105)</f>
        <v>0</v>
      </c>
      <c r="CI76" s="231">
        <f>SUMPRODUCT((DA$3:DA$105=CD76)*(DD$3:DD$105=CD77)*DC$3:DC$105)+SUMPRODUCT((DA$3:DA$105=CD76)*(DD$3:DD$105=CD73)*DC$3:DC$105)+SUMPRODUCT((DA$3:DA$105=CD76)*(DD$3:DD$105=CD74)*DC$3:DC$105)+SUMPRODUCT((DA$3:DA$105=CD76)*(DD$3:DD$105=CD75)*DC$3:DC$105)+SUMPRODUCT((DA$3:DA$105=CD77)*(DD$3:DD$105=CD76)*DB$3:DB$105)+SUMPRODUCT((DA$3:DA$105=CD73)*(DD$3:DD$105=CD76)*DB$3:DB$105)+SUMPRODUCT((DA$3:DA$105=CD74)*(DD$3:DD$105=CD76)*DB$3:DB$105)+SUMPRODUCT((DA$3:DA$105=CD75)*(DD$3:DD$105=CD76)*DB$3:DB$105)</f>
        <v>0</v>
      </c>
      <c r="CJ76" s="231">
        <f>CH76-CI76+1000</f>
        <v>1000</v>
      </c>
      <c r="CK76" s="231" t="str">
        <f t="shared" ref="CK76" si="165">IF(CD76&lt;&gt;"",CE76*3+CF76*1,"")</f>
        <v/>
      </c>
      <c r="CL76" s="231" t="str">
        <f>IF(CD76&lt;&gt;"",VLOOKUP(CD76,C$4:I$76,7,FALSE),"")</f>
        <v/>
      </c>
      <c r="CM76" s="231" t="str">
        <f>IF(CD76&lt;&gt;"",VLOOKUP(CD76,C$4:I$76,5,FALSE),"")</f>
        <v/>
      </c>
      <c r="CN76" s="231" t="str">
        <f>IF(CD76&lt;&gt;"",VLOOKUP(CD76,C$4:K$76,9,FALSE),"")</f>
        <v/>
      </c>
      <c r="CO76" s="231" t="str">
        <f t="shared" ref="CO76" si="166">CK76</f>
        <v/>
      </c>
      <c r="CP76" s="231" t="str">
        <f>IF(CD76&lt;&gt;"",RANK(CO76,AG73:AG77),"")</f>
        <v/>
      </c>
      <c r="CQ76" s="231" t="str">
        <f>IF(CD76&lt;&gt;"",SUMPRODUCT((CO73:CO77=CO76)*(CJ73:CJ77&gt;CJ76)),"")</f>
        <v/>
      </c>
      <c r="CR76" s="231" t="str">
        <f>IF(CD76&lt;&gt;"",SUMPRODUCT((CO73:CO77=CO76)*(CJ73:CJ77=CJ76)*(CH73:CH77&gt;CH76)),"")</f>
        <v/>
      </c>
      <c r="CS76" s="231" t="str">
        <f>IF(CD76&lt;&gt;"",SUMPRODUCT((CO73:CO77=CO76)*(CJ73:CJ77=CJ76)*(CH73:CH77=CH76)*(CL73:CL77&gt;CL76)),"")</f>
        <v/>
      </c>
      <c r="CT76" s="231" t="str">
        <f>IF(CD76&lt;&gt;"",SUMPRODUCT((CO73:CO77=CO76)*(CJ73:CJ77=CJ76)*(CH73:CH77=CH76)*(CL73:CL77=CL76)*(CM73:CM77&gt;CM76)),"")</f>
        <v/>
      </c>
      <c r="CU76" s="231" t="str">
        <f>IF(CD76&lt;&gt;"",SUMPRODUCT((CO73:CO77=CO76)*(CJ73:CJ77=CJ76)*(CH73:CH77=CH76)*(CL73:CL77=CL76)*(CM73:CM77=CM76)*(CN73:CN77&gt;CN76)),"")</f>
        <v/>
      </c>
      <c r="CV76" s="231" t="str">
        <f>IF(CD76&lt;&gt;"",SUM(CP76:CU76)+3,"")</f>
        <v/>
      </c>
      <c r="CW76" s="231" t="str">
        <f>IF(CD76&lt;&gt;"",IF(CV76=4,CD76,CD77),"")</f>
        <v/>
      </c>
      <c r="CX76" s="231" t="str">
        <f>IF(CW76&lt;&gt;"",CW76,IF(CC76&lt;&gt;"",CC76,IF(BI76&lt;&gt;"",BI76,IF(AO76&lt;&gt;"",AO76,O76))))</f>
        <v>Ghana</v>
      </c>
      <c r="CY76" s="231">
        <v>4</v>
      </c>
      <c r="DS76" s="233" t="str">
        <f>Matches!H97</f>
        <v>Match 83 Winner</v>
      </c>
      <c r="DU76" s="233" t="str">
        <f>IF(ISERROR("Calculator!"&amp;VLOOKUP(DS76,Calculator!$DS$7:$DT$54,2,FALSE)),"Calculator!dr77","Calculator!"&amp;VLOOKUP(DS76,Calculator!$DS$7:$DT$54,2,FALSE))</f>
        <v>Calculator!dr77</v>
      </c>
      <c r="DX76" s="230"/>
      <c r="DY76" s="243">
        <v>69</v>
      </c>
      <c r="DZ76" s="244">
        <f t="shared" si="158"/>
        <v>46200.916666666664</v>
      </c>
      <c r="EA76" s="247">
        <v>46200.916666666664</v>
      </c>
      <c r="EB76" s="246">
        <f t="shared" si="75"/>
        <v>46200.916666666664</v>
      </c>
      <c r="EC76" s="230"/>
    </row>
    <row r="77" spans="1:133" x14ac:dyDescent="0.25">
      <c r="DS77" s="233" t="str">
        <f>Matches!H98</f>
        <v>Match 81 Winner</v>
      </c>
      <c r="DU77" s="233" t="str">
        <f>IF(ISERROR("Calculator!"&amp;VLOOKUP(DS77,Calculator!$DS$7:$DT$54,2,FALSE)),"Calculator!dr77","Calculator!"&amp;VLOOKUP(DS77,Calculator!$DS$7:$DT$54,2,FALSE))</f>
        <v>Calculator!dr77</v>
      </c>
      <c r="DX77" s="230"/>
      <c r="DY77" s="243">
        <v>70</v>
      </c>
      <c r="DZ77" s="244">
        <f t="shared" si="158"/>
        <v>46200.916666666664</v>
      </c>
      <c r="EA77" s="247">
        <v>46200.916666666664</v>
      </c>
      <c r="EB77" s="246">
        <f t="shared" si="75"/>
        <v>46200.916666666664</v>
      </c>
      <c r="EC77" s="230"/>
    </row>
    <row r="78" spans="1:133" x14ac:dyDescent="0.25">
      <c r="DS78" s="233" t="str">
        <f>Matches!H99</f>
        <v>Match 86 Winner</v>
      </c>
      <c r="DU78" s="233" t="str">
        <f>IF(ISERROR("Calculator!"&amp;VLOOKUP(DS78,Calculator!$DS$7:$DT$54,2,FALSE)),"Calculator!dr77","Calculator!"&amp;VLOOKUP(DS78,Calculator!$DS$7:$DT$54,2,FALSE))</f>
        <v>Calculator!dr77</v>
      </c>
      <c r="DX78" s="230"/>
      <c r="DY78" s="243">
        <v>71</v>
      </c>
      <c r="DZ78" s="244">
        <f t="shared" si="158"/>
        <v>46200.8125</v>
      </c>
      <c r="EA78" s="247">
        <v>46200.8125</v>
      </c>
      <c r="EB78" s="246">
        <f t="shared" si="75"/>
        <v>46200.8125</v>
      </c>
      <c r="EC78" s="230"/>
    </row>
    <row r="79" spans="1:133" x14ac:dyDescent="0.25">
      <c r="DS79" s="233" t="str">
        <f>Matches!H100</f>
        <v>Match 85 Winner</v>
      </c>
      <c r="DU79" s="233" t="str">
        <f>IF(ISERROR("Calculator!"&amp;VLOOKUP(DS79,Calculator!$DS$7:$DT$54,2,FALSE)),"Calculator!dr77","Calculator!"&amp;VLOOKUP(DS79,Calculator!$DS$7:$DT$54,2,FALSE))</f>
        <v>Calculator!dr77</v>
      </c>
      <c r="DX79" s="230"/>
      <c r="DY79" s="243">
        <v>72</v>
      </c>
      <c r="DZ79" s="244">
        <f t="shared" si="158"/>
        <v>46200.8125</v>
      </c>
      <c r="EA79" s="247">
        <v>46200.8125</v>
      </c>
      <c r="EB79" s="246">
        <f t="shared" si="75"/>
        <v>46200.8125</v>
      </c>
      <c r="EC79" s="230"/>
    </row>
    <row r="80" spans="1:133" x14ac:dyDescent="0.25">
      <c r="DS80" s="233" t="str">
        <f>Matches!H101</f>
        <v>Match 89 Winner</v>
      </c>
      <c r="DU80" s="233" t="str">
        <f>IF(ISERROR("Calculator!"&amp;VLOOKUP(DS80,Calculator!$DS$7:$DT$54,2,FALSE)),"Calculator!dr77","Calculator!"&amp;VLOOKUP(DS80,Calculator!$DS$7:$DT$54,2,FALSE))</f>
        <v>Calculator!dr77</v>
      </c>
      <c r="DX80" s="230"/>
      <c r="DY80" s="243">
        <v>73</v>
      </c>
      <c r="DZ80" s="244">
        <f t="shared" si="158"/>
        <v>46201.625</v>
      </c>
      <c r="EA80" s="247">
        <v>46201.625</v>
      </c>
      <c r="EB80" s="246">
        <f t="shared" si="75"/>
        <v>46201.625</v>
      </c>
      <c r="EC80" s="230"/>
    </row>
    <row r="81" spans="9:133" x14ac:dyDescent="0.25">
      <c r="CD81" s="231" t="s">
        <v>72</v>
      </c>
      <c r="DS81" s="233" t="str">
        <f>Matches!H102</f>
        <v>Match 93 Winner</v>
      </c>
      <c r="DU81" s="233" t="str">
        <f>IF(ISERROR("Calculator!"&amp;VLOOKUP(DS81,Calculator!$DS$7:$DT$54,2,FALSE)),"Calculator!dr77","Calculator!"&amp;VLOOKUP(DS81,Calculator!$DS$7:$DT$54,2,FALSE))</f>
        <v>Calculator!dr77</v>
      </c>
      <c r="DX81" s="230"/>
      <c r="DY81" s="243">
        <v>74</v>
      </c>
      <c r="DZ81" s="244">
        <f t="shared" si="158"/>
        <v>46202.6875</v>
      </c>
      <c r="EA81" s="247">
        <v>46202.6875</v>
      </c>
      <c r="EB81" s="246">
        <f t="shared" si="75"/>
        <v>46202.6875</v>
      </c>
      <c r="EC81" s="230"/>
    </row>
    <row r="82" spans="9:133" x14ac:dyDescent="0.25">
      <c r="I82" s="231" t="s">
        <v>458</v>
      </c>
      <c r="J82" s="231" t="s">
        <v>459</v>
      </c>
      <c r="U82" s="231">
        <f>IF(V83="",SUM(AH4:AM4),IF(V84="",SUM(AH5:AM5),IF(V85="",SUM(AH6:AM6),IF(V86="",SUM(AH7:AM7),0))))</f>
        <v>0</v>
      </c>
      <c r="V82" s="231" t="s">
        <v>460</v>
      </c>
      <c r="W82" s="231" t="s">
        <v>68</v>
      </c>
      <c r="X82" s="231" t="s">
        <v>69</v>
      </c>
      <c r="Y82" s="231" t="s">
        <v>70</v>
      </c>
      <c r="Z82" s="231" t="s">
        <v>437</v>
      </c>
      <c r="AA82" s="231" t="s">
        <v>438</v>
      </c>
      <c r="AB82" s="231" t="s">
        <v>439</v>
      </c>
      <c r="AC82" s="231" t="s">
        <v>67</v>
      </c>
      <c r="AD82" s="231" t="s">
        <v>449</v>
      </c>
      <c r="AE82" s="231" t="s">
        <v>450</v>
      </c>
      <c r="AF82" s="231" t="s">
        <v>451</v>
      </c>
      <c r="AG82" s="231" t="s">
        <v>452</v>
      </c>
      <c r="AH82" s="231" t="s">
        <v>453</v>
      </c>
      <c r="AI82" s="231" t="s">
        <v>454</v>
      </c>
      <c r="AJ82" s="231" t="s">
        <v>437</v>
      </c>
      <c r="AK82" s="231" t="s">
        <v>455</v>
      </c>
      <c r="AL82" s="231" t="s">
        <v>450</v>
      </c>
      <c r="AM82" s="231" t="s">
        <v>451</v>
      </c>
      <c r="AN82" s="231" t="s">
        <v>456</v>
      </c>
      <c r="AO82" s="231">
        <f>IF(AP84="",SUM(BB5:BG5),IF(AP85="",SUM(BB6:BG6),IF(AP86="",SUM(BB7:BG7),0)))</f>
        <v>0</v>
      </c>
      <c r="AP82" s="231" t="s">
        <v>461</v>
      </c>
      <c r="AQ82" s="231" t="s">
        <v>68</v>
      </c>
      <c r="AR82" s="231" t="s">
        <v>69</v>
      </c>
      <c r="AS82" s="231" t="s">
        <v>70</v>
      </c>
      <c r="AT82" s="231" t="s">
        <v>437</v>
      </c>
      <c r="AU82" s="231" t="s">
        <v>438</v>
      </c>
      <c r="AV82" s="231" t="s">
        <v>439</v>
      </c>
      <c r="AW82" s="231" t="s">
        <v>67</v>
      </c>
      <c r="AX82" s="231" t="s">
        <v>449</v>
      </c>
      <c r="AY82" s="231" t="s">
        <v>450</v>
      </c>
      <c r="AZ82" s="231" t="s">
        <v>451</v>
      </c>
      <c r="BA82" s="231" t="s">
        <v>452</v>
      </c>
      <c r="BB82" s="231" t="s">
        <v>453</v>
      </c>
      <c r="BC82" s="231" t="s">
        <v>454</v>
      </c>
      <c r="BD82" s="231" t="s">
        <v>437</v>
      </c>
      <c r="BE82" s="231" t="s">
        <v>455</v>
      </c>
      <c r="BF82" s="231" t="s">
        <v>450</v>
      </c>
      <c r="BG82" s="231" t="s">
        <v>451</v>
      </c>
      <c r="BH82" s="231" t="s">
        <v>456</v>
      </c>
      <c r="DS82" s="233" t="str">
        <f>Matches!H103</f>
        <v>Match 91 Winner</v>
      </c>
      <c r="DU82" s="233" t="str">
        <f>IF(ISERROR("Calculator!"&amp;VLOOKUP(DS82,Calculator!$DS$7:$DT$54,2,FALSE)),"Calculator!dr77","Calculator!"&amp;VLOOKUP(DS82,Calculator!$DS$7:$DT$54,2,FALSE))</f>
        <v>Calculator!dr77</v>
      </c>
      <c r="DX82" s="230"/>
      <c r="DY82" s="243">
        <v>75</v>
      </c>
      <c r="DZ82" s="244">
        <f t="shared" si="158"/>
        <v>46202.875</v>
      </c>
      <c r="EA82" s="247">
        <v>46202.875</v>
      </c>
      <c r="EB82" s="246">
        <f t="shared" si="75"/>
        <v>46202.875</v>
      </c>
      <c r="EC82" s="230"/>
    </row>
    <row r="83" spans="9:133" x14ac:dyDescent="0.25">
      <c r="J83" s="231">
        <f>IF(COUNTIF(J$4:J$7,4)=4,1,SUMPRODUCT((J$4:J$7=J4)*(I$4:I$7=I4)*(G$4:G$7&gt;G4))+1)</f>
        <v>1</v>
      </c>
      <c r="U83" s="231">
        <f>IF(V4&lt;&gt;"",SUMPRODUCT((AC4:AC7=AC4)*(AB4:AB7=AB4)*(Z4:Z7=Z4)*(AA4:AA7=AA4)),"")</f>
        <v>4</v>
      </c>
      <c r="V83" s="231" t="str">
        <f>IF(AND(U83&lt;&gt;"",U83&gt;1),V4,"")</f>
        <v>South Africa</v>
      </c>
      <c r="W83" s="231">
        <f>SUMPRODUCT((DA$3:DA$105=V83)*(DD$3:DD$105=V84)*(DE$3:DE$105="W"))+SUMPRODUCT((DA$3:DA$105=V83)*(DD$3:DD$105=V85)*(DE$3:DE$105="W"))+SUMPRODUCT((DA$3:DA$105=V83)*(DD$3:DD$105=V86)*(DE$3:DE$105="W"))+SUMPRODUCT((DA$3:DA$105=V83)*(DD$3:DD$105=V87)*(DE$3:DE$105="W"))+SUMPRODUCT((DA$3:DA$105=V84)*(DD$3:DD$105=V83)*(DF$3:DF$105="W"))+SUMPRODUCT((DA$3:DA$105=V85)*(DD$3:DD$105=V83)*(DF$3:DF$105="W"))+SUMPRODUCT((DA$3:DA$105=V86)*(DD$3:DD$105=V83)*(DF$3:DF$105="W"))+SUMPRODUCT((DA$3:DA$105=V87)*(DD$3:DD$105=V83)*(DF$3:DF$105="W"))</f>
        <v>0</v>
      </c>
      <c r="X83" s="231">
        <f>SUMPRODUCT((DA$3:DA$105=V83)*(DD$3:DD$105=V84)*(DE$3:DE$105="D"))+SUMPRODUCT((DA$3:DA$105=V83)*(DD$3:DD$105=V85)*(DE$3:DE$105="D"))+SUMPRODUCT((DA$3:DA$105=V83)*(DD$3:DD$105=V86)*(DE$3:DE$105="D"))+SUMPRODUCT((DA$3:DA$105=V83)*(DD$3:DD$105=V87)*(DE$3:DE$105="D"))+SUMPRODUCT((DA$3:DA$105=V84)*(DD$3:DD$105=V83)*(DE$3:DE$105="D"))+SUMPRODUCT((DA$3:DA$105=V85)*(DD$3:DD$105=V83)*(DE$3:DE$105="D"))+SUMPRODUCT((DA$3:DA$105=V86)*(DD$3:DD$105=V83)*(DE$3:DE$105="D"))+SUMPRODUCT((DA$3:DA$105=V87)*(DD$3:DD$105=V83)*(DE$3:DE$105="D"))</f>
        <v>0</v>
      </c>
      <c r="Y83" s="231">
        <f>SUMPRODUCT((DA$3:DA$105=V83)*(DD$3:DD$105=V84)*(DE$3:DE$105="L"))+SUMPRODUCT((DA$3:DA$105=V83)*(DD$3:DD$105=V85)*(DE$3:DE$105="L"))+SUMPRODUCT((DA$3:DA$105=V83)*(DD$3:DD$105=V86)*(DE$3:DE$105="L"))+SUMPRODUCT((DA$3:DA$105=V83)*(DD$3:DD$105=V87)*(DE$3:DE$105="L"))+SUMPRODUCT((DA$3:DA$105=V84)*(DD$3:DD$105=V83)*(DF$3:DF$105="L"))+SUMPRODUCT((DA$3:DA$105=V85)*(DD$3:DD$105=V83)*(DF$3:DF$105="L"))+SUMPRODUCT((DA$3:DA$105=V86)*(DD$3:DD$105=V83)*(DF$3:DF$105="L"))+SUMPRODUCT((DA$3:DA$105=V87)*(DD$3:DD$105=V83)*(DF$3:DF$105="L"))</f>
        <v>0</v>
      </c>
      <c r="Z83" s="231">
        <f>SUMPRODUCT((DA$3:DA$105=V83)*(DD$3:DD$105=V84)*DB$3:DB$105)+SUMPRODUCT((DA$3:DA$105=V83)*(DD$3:DD$105=V85)*DB$3:DB$105)+SUMPRODUCT((DA$3:DA$105=V83)*(DD$3:DD$105=V86)*DB$3:DB$105)+SUMPRODUCT((DA$3:DA$105=V83)*(DD$3:DD$105=V87)*DB$3:DB$105)+SUMPRODUCT((DA$3:DA$105=V84)*(DD$3:DD$105=V83)*DC$3:DC$105)+SUMPRODUCT((DA$3:DA$105=V85)*(DD$3:DD$105=V83)*DC$3:DC$105)+SUMPRODUCT((DA$3:DA$105=V86)*(DD$3:DD$105=V83)*DC$3:DC$105)+SUMPRODUCT((DA$3:DA$105=V87)*(DD$3:DD$105=V83)*DC$3:DC$105)</f>
        <v>0</v>
      </c>
      <c r="AA83" s="231">
        <f>SUMPRODUCT((DA$3:DA$105=V83)*(DD$3:DD$105=V84)*DC$3:DC$105)+SUMPRODUCT((DA$3:DA$105=V83)*(DD$3:DD$105=V85)*DC$3:DC$105)+SUMPRODUCT((DA$3:DA$105=V83)*(DD$3:DD$105=V86)*DC$3:DC$105)+SUMPRODUCT((DA$3:DA$105=V83)*(DD$3:DD$105=V87)*DC$3:DC$105)+SUMPRODUCT((DA$3:DA$105=V84)*(DD$3:DD$105=V83)*DB$3:DB$105)+SUMPRODUCT((DA$3:DA$105=V85)*(DD$3:DD$105=V83)*DB$3:DB$105)+SUMPRODUCT((DA$3:DA$105=V86)*(DD$3:DD$105=V83)*DB$3:DB$105)+SUMPRODUCT((DA$3:DA$105=V87)*(DD$3:DD$105=V83)*DB$3:DB$105)</f>
        <v>0</v>
      </c>
      <c r="AB83" s="231">
        <f>Z83-AA83+1000</f>
        <v>1000</v>
      </c>
      <c r="AC83" s="231">
        <f>IF(V83&lt;&gt;"",W83*3+X83*1,"")</f>
        <v>0</v>
      </c>
      <c r="AD83" s="231">
        <f>IF(V83&lt;&gt;"",VLOOKUP(V83,C$4:I$52,7,FALSE),"")</f>
        <v>1000</v>
      </c>
      <c r="AE83" s="231">
        <f>IF(V83&lt;&gt;"",VLOOKUP(V83,C$4:I$52,5,FALSE),"")</f>
        <v>0</v>
      </c>
      <c r="AF83" s="231">
        <f>IF(V83&lt;&gt;"",VLOOKUP(V83,C$4:K$52,9,FALSE),"")</f>
        <v>-160</v>
      </c>
      <c r="AG83" s="231">
        <f>AC83</f>
        <v>0</v>
      </c>
      <c r="AH83" s="231">
        <f>IF(V83&lt;&gt;"",RANK(AG83,AG83:AG87),"")</f>
        <v>1</v>
      </c>
      <c r="AI83" s="231">
        <f>IF(V83&lt;&gt;"",SUMPRODUCT((AG83:AG87=AG83)*(AB83:AB87&gt;AB83)),"")</f>
        <v>0</v>
      </c>
      <c r="AJ83" s="231">
        <f>IF(V83&lt;&gt;"",SUMPRODUCT((AG83:AG87=AG83)*(AB83:AB87=AB83)*(Z83:Z87&gt;Z83)),"")</f>
        <v>0</v>
      </c>
      <c r="AK83" s="231">
        <f>IF(V83&lt;&gt;"",SUMPRODUCT((AG83:AG87=AG83)*(AB83:AB87=AB83)*(Z83:Z87=Z83)*(AD83:AD87&gt;AD83)),"")</f>
        <v>0</v>
      </c>
      <c r="AL83" s="231">
        <f>IF(V83&lt;&gt;"",SUMPRODUCT((AG83:AG87=AG83)*(AB83:AB87=AB83)*(Z83:Z87=Z83)*(AD83:AD87=AD83)*(AE83:AE87&gt;AE83)),"")</f>
        <v>0</v>
      </c>
      <c r="AM83" s="231">
        <f>IF(V83&lt;&gt;"",SUMPRODUCT((AG83:AG87=AG83)*(AB83:AB87=AB83)*(Z83:Z87=Z83)*(AD83:AD87=AD83)*(AE83:AE87=AE83)*(AF83:AF87&gt;AF83)),"")</f>
        <v>3</v>
      </c>
      <c r="AN83" s="231">
        <f>IF(V83&lt;&gt;"",SUM(AH83:AM83),"")</f>
        <v>4</v>
      </c>
      <c r="DS83" s="233" t="str">
        <f>Matches!H104</f>
        <v>Match 95 Winner</v>
      </c>
      <c r="DU83" s="233" t="str">
        <f>IF(ISERROR("Calculator!"&amp;VLOOKUP(DS83,Calculator!$DS$7:$DT$54,2,FALSE)),"Calculator!dr77","Calculator!"&amp;VLOOKUP(DS83,Calculator!$DS$7:$DT$54,2,FALSE))</f>
        <v>Calculator!dr77</v>
      </c>
      <c r="DX83" s="230"/>
      <c r="DY83" s="243">
        <v>76</v>
      </c>
      <c r="DZ83" s="244">
        <f t="shared" si="158"/>
        <v>46202.541666666664</v>
      </c>
      <c r="EA83" s="247">
        <v>46202.541666666664</v>
      </c>
      <c r="EB83" s="246">
        <f t="shared" si="75"/>
        <v>46202.541666666664</v>
      </c>
      <c r="EC83" s="230"/>
    </row>
    <row r="84" spans="9:133" x14ac:dyDescent="0.25">
      <c r="J84" s="231">
        <f>IF(COUNTIF(J$4:J$7,4)=4,1,SUMPRODUCT((J$4:J$7=J5)*(I$4:I$7=I5)*(G$4:G$7&gt;G5))+1)</f>
        <v>1</v>
      </c>
      <c r="U84" s="231">
        <f>IF(V5&lt;&gt;"",SUMPRODUCT((AC4:AC7=AC5)*(AB4:AB7=AB5)*(Z4:Z7=Z5)*(AA4:AA7=AA5)),"")</f>
        <v>4</v>
      </c>
      <c r="V84" s="231" t="str">
        <f>IF(AND(U84&lt;&gt;"",U84&gt;1),V5,"")</f>
        <v>Czechia</v>
      </c>
      <c r="W84" s="231">
        <f>SUMPRODUCT((DA$3:DA$105=V84)*(DD$3:DD$105=V85)*(DE$3:DE$105="W"))+SUMPRODUCT((DA$3:DA$105=V84)*(DD$3:DD$105=V86)*(DE$3:DE$105="W"))+SUMPRODUCT((DA$3:DA$105=V84)*(DD$3:DD$105=V87)*(DE$3:DE$105="W"))+SUMPRODUCT((DA$3:DA$105=V84)*(DD$3:DD$105=V83)*(DE$3:DE$105="W"))+SUMPRODUCT((DA$3:DA$105=V85)*(DD$3:DD$105=V84)*(DF$3:DF$105="W"))+SUMPRODUCT((DA$3:DA$105=V86)*(DD$3:DD$105=V84)*(DF$3:DF$105="W"))+SUMPRODUCT((DA$3:DA$105=V87)*(DD$3:DD$105=V84)*(DF$3:DF$105="W"))+SUMPRODUCT((DA$3:DA$105=V83)*(DD$3:DD$105=V84)*(DF$3:DF$105="W"))</f>
        <v>0</v>
      </c>
      <c r="X84" s="231">
        <f>SUMPRODUCT((DA$3:DA$105=V84)*(DD$3:DD$105=V85)*(DE$3:DE$105="D"))+SUMPRODUCT((DA$3:DA$105=V84)*(DD$3:DD$105=V86)*(DE$3:DE$105="D"))+SUMPRODUCT((DA$3:DA$105=V84)*(DD$3:DD$105=V87)*(DE$3:DE$105="D"))+SUMPRODUCT((DA$3:DA$105=V84)*(DD$3:DD$105=V83)*(DE$3:DE$105="D"))+SUMPRODUCT((DA$3:DA$105=V85)*(DD$3:DD$105=V84)*(DE$3:DE$105="D"))+SUMPRODUCT((DA$3:DA$105=V86)*(DD$3:DD$105=V84)*(DE$3:DE$105="D"))+SUMPRODUCT((DA$3:DA$105=V87)*(DD$3:DD$105=V84)*(DE$3:DE$105="D"))+SUMPRODUCT((DA$3:DA$105=V83)*(DD$3:DD$105=V84)*(DE$3:DE$105="D"))</f>
        <v>0</v>
      </c>
      <c r="Y84" s="231">
        <f>SUMPRODUCT((DA$3:DA$105=V84)*(DD$3:DD$105=V85)*(DE$3:DE$105="L"))+SUMPRODUCT((DA$3:DA$105=V84)*(DD$3:DD$105=V86)*(DE$3:DE$105="L"))+SUMPRODUCT((DA$3:DA$105=V84)*(DD$3:DD$105=V87)*(DE$3:DE$105="L"))+SUMPRODUCT((DA$3:DA$105=V84)*(DD$3:DD$105=V83)*(DE$3:DE$105="L"))+SUMPRODUCT((DA$3:DA$105=V85)*(DD$3:DD$105=V84)*(DF$3:DF$105="L"))+SUMPRODUCT((DA$3:DA$105=V86)*(DD$3:DD$105=V84)*(DF$3:DF$105="L"))+SUMPRODUCT((DA$3:DA$105=V87)*(DD$3:DD$105=V84)*(DF$3:DF$105="L"))+SUMPRODUCT((DA$3:DA$105=V83)*(DD$3:DD$105=V84)*(DF$3:DF$105="L"))</f>
        <v>0</v>
      </c>
      <c r="Z84" s="231">
        <f>SUMPRODUCT((DA$3:DA$105=V84)*(DD$3:DD$105=V85)*DB$3:DB$105)+SUMPRODUCT((DA$3:DA$105=V84)*(DD$3:DD$105=V86)*DB$3:DB$105)+SUMPRODUCT((DA$3:DA$105=V84)*(DD$3:DD$105=V87)*DB$3:DB$105)+SUMPRODUCT((DA$3:DA$105=V84)*(DD$3:DD$105=V83)*DB$3:DB$105)+SUMPRODUCT((DA$3:DA$105=V85)*(DD$3:DD$105=V84)*DC$3:DC$105)+SUMPRODUCT((DA$3:DA$105=V86)*(DD$3:DD$105=V84)*DC$3:DC$105)+SUMPRODUCT((DA$3:DA$105=V87)*(DD$3:DD$105=V84)*DC$3:DC$105)+SUMPRODUCT((DA$3:DA$105=V83)*(DD$3:DD$105=V84)*DC$3:DC$105)</f>
        <v>0</v>
      </c>
      <c r="AA84" s="231">
        <f>SUMPRODUCT((DA$3:DA$105=V84)*(DD$3:DD$105=V85)*DC$3:DC$105)+SUMPRODUCT((DA$3:DA$105=V84)*(DD$3:DD$105=V86)*DC$3:DC$105)+SUMPRODUCT((DA$3:DA$105=V84)*(DD$3:DD$105=V87)*DC$3:DC$105)+SUMPRODUCT((DA$3:DA$105=V84)*(DD$3:DD$105=V83)*DC$3:DC$105)+SUMPRODUCT((DA$3:DA$105=V85)*(DD$3:DD$105=V84)*DB$3:DB$105)+SUMPRODUCT((DA$3:DA$105=V86)*(DD$3:DD$105=V84)*DB$3:DB$105)+SUMPRODUCT((DA$3:DA$105=V87)*(DD$3:DD$105=V84)*DB$3:DB$105)+SUMPRODUCT((DA$3:DA$105=V83)*(DD$3:DD$105=V84)*DB$3:DB$105)</f>
        <v>0</v>
      </c>
      <c r="AB84" s="231">
        <f>Z84-AA84+1000</f>
        <v>1000</v>
      </c>
      <c r="AC84" s="231">
        <f t="shared" ref="AC84:AC86" si="167">IF(V84&lt;&gt;"",W84*3+X84*1,"")</f>
        <v>0</v>
      </c>
      <c r="AD84" s="231">
        <f>IF(V84&lt;&gt;"",VLOOKUP(V84,C$4:I$52,7,FALSE),"")</f>
        <v>1000</v>
      </c>
      <c r="AE84" s="231">
        <f>IF(V84&lt;&gt;"",VLOOKUP(V84,C$4:I$52,5,FALSE),"")</f>
        <v>0</v>
      </c>
      <c r="AF84" s="231">
        <f>IF(V84&lt;&gt;"",VLOOKUP(V84,C$4:K$52,9,FALSE),"")</f>
        <v>-143</v>
      </c>
      <c r="AG84" s="231">
        <f t="shared" ref="AG84:AG86" si="168">AC84</f>
        <v>0</v>
      </c>
      <c r="AH84" s="231">
        <f>IF(V84&lt;&gt;"",RANK(AG84,AG83:AG87),"")</f>
        <v>1</v>
      </c>
      <c r="AI84" s="231">
        <f>IF(V84&lt;&gt;"",SUMPRODUCT((AG83:AG87=AG84)*(AB83:AB87&gt;AB84)),"")</f>
        <v>0</v>
      </c>
      <c r="AJ84" s="231">
        <f>IF(V84&lt;&gt;"",SUMPRODUCT((AG83:AG87=AG84)*(AB83:AB87=AB84)*(Z83:Z87&gt;Z84)),"")</f>
        <v>0</v>
      </c>
      <c r="AK84" s="231">
        <f>IF(V84&lt;&gt;"",SUMPRODUCT((AG83:AG87=AG84)*(AB83:AB87=AB84)*(Z83:Z87=Z84)*(AD83:AD87&gt;AD84)),"")</f>
        <v>0</v>
      </c>
      <c r="AL84" s="231">
        <f>IF(V84&lt;&gt;"",SUMPRODUCT((AG83:AG87=AG84)*(AB83:AB87=AB84)*(Z83:Z87=Z84)*(AD83:AD87=AD84)*(AE83:AE87&gt;AE84)),"")</f>
        <v>0</v>
      </c>
      <c r="AM84" s="231">
        <f>IF(V84&lt;&gt;"",SUMPRODUCT((AG83:AG87=AG84)*(AB83:AB87=AB84)*(Z83:Z87=Z84)*(AD83:AD87=AD84)*(AE83:AE87=AE84)*(AF83:AF87&gt;AF84)),"")</f>
        <v>2</v>
      </c>
      <c r="AN84" s="231">
        <f>IF(V84&lt;&gt;"",SUM(AH84:AM84),"")</f>
        <v>3</v>
      </c>
      <c r="AO84" s="231" t="str">
        <f>IF(AP5&lt;&gt;"",SUMPRODUCT((AW4:AW7=AW5)*(AV4:AV7=AV5)*(AT4:AT7=AT5)*(AU4:AU7=AU5)),"")</f>
        <v/>
      </c>
      <c r="AP84" s="231" t="str">
        <f>IF(AND(AO84&lt;&gt;"",AO84&gt;1),AP5,"")</f>
        <v/>
      </c>
      <c r="AQ84" s="231">
        <f>SUMPRODUCT((DA$3:DA$105=AP84)*(DD$3:DD$105=AP85)*(DE$3:DE$105="W"))+SUMPRODUCT((DA$3:DA$105=AP84)*(DD$3:DD$105=AP86)*(DE$3:DE$105="W"))+SUMPRODUCT((DA$3:DA$105=AP84)*(DD$3:DD$105=AP87)*(DE$3:DE$105="W"))+SUMPRODUCT((DA$3:DA$105=AP85)*(DD$3:DD$105=AP84)*(DF$3:DF$105="W"))+SUMPRODUCT((DA$3:DA$105=AP86)*(DD$3:DD$105=AP84)*(DF$3:DF$105="W"))+SUMPRODUCT((DA$3:DA$105=AP87)*(DD$3:DD$105=AP84)*(DF$3:DF$105="W"))</f>
        <v>0</v>
      </c>
      <c r="AR84" s="231">
        <f>SUMPRODUCT((DA$3:DA$105=AP84)*(DD$3:DD$105=AP85)*(DE$3:DE$105="D"))+SUMPRODUCT((DA$3:DA$105=AP84)*(DD$3:DD$105=AP86)*(DE$3:DE$105="D"))+SUMPRODUCT((DA$3:DA$105=AP84)*(DD$3:DD$105=AP87)*(DE$3:DE$105="D"))+SUMPRODUCT((DA$3:DA$105=AP85)*(DD$3:DD$105=AP84)*(DE$3:DE$105="D"))+SUMPRODUCT((DA$3:DA$105=AP86)*(DD$3:DD$105=AP84)*(DE$3:DE$105="D"))+SUMPRODUCT((DA$3:DA$105=AP87)*(DD$3:DD$105=AP84)*(DE$3:DE$105="D"))</f>
        <v>0</v>
      </c>
      <c r="AS84" s="231">
        <f>SUMPRODUCT((DA$3:DA$105=AP84)*(DD$3:DD$105=AP85)*(DE$3:DE$105="L"))+SUMPRODUCT((DA$3:DA$105=AP84)*(DD$3:DD$105=AP86)*(DE$3:DE$105="L"))+SUMPRODUCT((DA$3:DA$105=AP84)*(DD$3:DD$105=AP87)*(DE$3:DE$105="L"))+SUMPRODUCT((DA$3:DA$105=AP85)*(DD$3:DD$105=AP84)*(DF$3:DF$105="L"))+SUMPRODUCT((DA$3:DA$105=AP86)*(DD$3:DD$105=AP84)*(DF$3:DF$105="L"))+SUMPRODUCT((DA$3:DA$105=AP87)*(DD$3:DD$105=AP84)*(DF$3:DF$105="L"))</f>
        <v>0</v>
      </c>
      <c r="AT84" s="231">
        <f>SUMPRODUCT((DA$3:DA$105=AP84)*(DD$3:DD$105=AP85)*DB$3:DB$105)+SUMPRODUCT((DA$3:DA$105=AP84)*(DD$3:DD$105=AP86)*DB$3:DB$105)+SUMPRODUCT((DA$3:DA$105=AP84)*(DD$3:DD$105=AP87)*DB$3:DB$105)+SUMPRODUCT((DA$3:DA$105=AP84)*(DD$3:DD$105=AP83)*DB$3:DB$105)+SUMPRODUCT((DA$3:DA$105=AP85)*(DD$3:DD$105=AP84)*DC$3:DC$105)+SUMPRODUCT((DA$3:DA$105=AP86)*(DD$3:DD$105=AP84)*DC$3:DC$105)+SUMPRODUCT((DA$3:DA$105=AP87)*(DD$3:DD$105=AP84)*DC$3:DC$105)+SUMPRODUCT((DA$3:DA$105=AP83)*(DD$3:DD$105=AP84)*DC$3:DC$105)</f>
        <v>0</v>
      </c>
      <c r="AU84" s="231">
        <f>SUMPRODUCT((DA$3:DA$105=AP84)*(DD$3:DD$105=AP85)*DC$3:DC$105)+SUMPRODUCT((DA$3:DA$105=AP84)*(DD$3:DD$105=AP86)*DC$3:DC$105)+SUMPRODUCT((DA$3:DA$105=AP84)*(DD$3:DD$105=AP87)*DC$3:DC$105)+SUMPRODUCT((DA$3:DA$105=AP84)*(DD$3:DD$105=AP83)*DC$3:DC$105)+SUMPRODUCT((DA$3:DA$105=AP85)*(DD$3:DD$105=AP84)*DB$3:DB$105)+SUMPRODUCT((DA$3:DA$105=AP86)*(DD$3:DD$105=AP84)*DB$3:DB$105)+SUMPRODUCT((DA$3:DA$105=AP87)*(DD$3:DD$105=AP84)*DB$3:DB$105)+SUMPRODUCT((DA$3:DA$105=AP83)*(DD$3:DD$105=AP84)*DB$3:DB$105)</f>
        <v>0</v>
      </c>
      <c r="AV84" s="231">
        <f>AT84-AU84+1000</f>
        <v>1000</v>
      </c>
      <c r="AW84" s="231" t="str">
        <f t="shared" ref="AW84:AW86" si="169">IF(AP84&lt;&gt;"",AQ84*3+AR84*1,"")</f>
        <v/>
      </c>
      <c r="AX84" s="231" t="str">
        <f>IF(AP84&lt;&gt;"",VLOOKUP(AP84,C$4:I$52,7,FALSE),"")</f>
        <v/>
      </c>
      <c r="AY84" s="231" t="str">
        <f>IF(AP84&lt;&gt;"",VLOOKUP(AP84,C$4:I$52,5,FALSE),"")</f>
        <v/>
      </c>
      <c r="AZ84" s="231" t="str">
        <f>IF(AP84&lt;&gt;"",VLOOKUP(AP84,C$4:K$52,9,FALSE),"")</f>
        <v/>
      </c>
      <c r="BA84" s="231" t="str">
        <f t="shared" ref="BA84:BA86" si="170">AW84</f>
        <v/>
      </c>
      <c r="BB84" s="231" t="str">
        <f>IF(AP84&lt;&gt;"",RANK(BA84,BA83:BA86),"")</f>
        <v/>
      </c>
      <c r="BC84" s="231" t="str">
        <f>IF(AP84&lt;&gt;"",SUMPRODUCT((BA83:BA86=BA84)*(AV83:AV86&gt;AV84)),"")</f>
        <v/>
      </c>
      <c r="BD84" s="231" t="str">
        <f>IF(AP84&lt;&gt;"",SUMPRODUCT((BA83:BA86=BA84)*(AV83:AV86=AV84)*(AT83:AT86&gt;AT84)),"")</f>
        <v/>
      </c>
      <c r="BE84" s="231" t="str">
        <f>IF(AP84&lt;&gt;"",SUMPRODUCT((BA83:BA86=BA84)*(AV83:AV86=AV84)*(AT83:AT86=AT84)*(AX83:AX86&gt;AX84)),"")</f>
        <v/>
      </c>
      <c r="BF84" s="231" t="str">
        <f>IF(AP84&lt;&gt;"",SUMPRODUCT((BA83:BA86=BA84)*(AV83:AV86=AV84)*(AT83:AT86=AT84)*(AX83:AX86=AX84)*(AY83:AY86&gt;AY84)),"")</f>
        <v/>
      </c>
      <c r="BG84" s="231" t="str">
        <f>IF(AP84&lt;&gt;"",SUMPRODUCT((BA83:BA86=BA84)*(AV83:AV86=AV84)*(AT83:AT86=AT84)*(AX83:AX86=AX84)*(AY83:AY86=AY84)*(AZ83:AZ86&gt;AZ84)),"")</f>
        <v/>
      </c>
      <c r="BH84" s="231" t="str">
        <f>IF(AP84&lt;&gt;"",SUM(BB84:BG84)+1,"")</f>
        <v/>
      </c>
      <c r="DS84" s="233" t="str">
        <f>Matches!H105</f>
        <v>Match 97 Winner</v>
      </c>
      <c r="DU84" s="233" t="str">
        <f>IF(ISERROR("Calculator!"&amp;VLOOKUP(DS84,Calculator!$DS$7:$DT$54,2,FALSE)),"Calculator!dr77","Calculator!"&amp;VLOOKUP(DS84,Calculator!$DS$7:$DT$54,2,FALSE))</f>
        <v>Calculator!dr77</v>
      </c>
      <c r="DX84" s="230"/>
      <c r="DY84" s="243">
        <v>77</v>
      </c>
      <c r="DZ84" s="244">
        <f t="shared" si="158"/>
        <v>46203.708333333336</v>
      </c>
      <c r="EA84" s="247">
        <v>46203.708333333336</v>
      </c>
      <c r="EB84" s="246">
        <f t="shared" si="75"/>
        <v>46203.708333333336</v>
      </c>
      <c r="EC84" s="230"/>
    </row>
    <row r="85" spans="9:133" x14ac:dyDescent="0.25">
      <c r="J85" s="231">
        <f>IF(COUNTIF(J$4:J$7,4)=4,1,SUMPRODUCT((J$4:J$7=J6)*(I$4:I$7=I6)*(G$4:G$7&gt;G6))+1)</f>
        <v>1</v>
      </c>
      <c r="U85" s="231">
        <f>IF(V6&lt;&gt;"",SUMPRODUCT((AC4:AC7=AC6)*(AB4:AB7=AB6)*(Z4:Z7=Z6)*(AA4:AA7=AA6)),"")</f>
        <v>4</v>
      </c>
      <c r="V85" s="231" t="str">
        <f>IF(AND(U85&lt;&gt;"",U85&gt;1),V6,"")</f>
        <v>Korea Republic</v>
      </c>
      <c r="W85" s="231">
        <f>SUMPRODUCT((DA$3:DA$105=V85)*(DD$3:DD$105=V86)*(DE$3:DE$105="W"))+SUMPRODUCT((DA$3:DA$105=V85)*(DD$3:DD$105=V87)*(DE$3:DE$105="W"))+SUMPRODUCT((DA$3:DA$105=V85)*(DD$3:DD$105=V83)*(DE$3:DE$105="W"))+SUMPRODUCT((DA$3:DA$105=V85)*(DD$3:DD$105=V84)*(DE$3:DE$105="W"))+SUMPRODUCT((DA$3:DA$105=V86)*(DD$3:DD$105=V85)*(DF$3:DF$105="W"))+SUMPRODUCT((DA$3:DA$105=V87)*(DD$3:DD$105=V85)*(DF$3:DF$105="W"))+SUMPRODUCT((DA$3:DA$105=V83)*(DD$3:DD$105=V85)*(DF$3:DF$105="W"))+SUMPRODUCT((DA$3:DA$105=V84)*(DD$3:DD$105=V85)*(DF$3:DF$105="W"))</f>
        <v>0</v>
      </c>
      <c r="X85" s="231">
        <f>SUMPRODUCT((DA$3:DA$105=V85)*(DD$3:DD$105=V86)*(DE$3:DE$105="D"))+SUMPRODUCT((DA$3:DA$105=V85)*(DD$3:DD$105=V87)*(DE$3:DE$105="D"))+SUMPRODUCT((DA$3:DA$105=V85)*(DD$3:DD$105=V83)*(DE$3:DE$105="D"))+SUMPRODUCT((DA$3:DA$105=V85)*(DD$3:DD$105=V84)*(DE$3:DE$105="D"))+SUMPRODUCT((DA$3:DA$105=V86)*(DD$3:DD$105=V85)*(DE$3:DE$105="D"))+SUMPRODUCT((DA$3:DA$105=V87)*(DD$3:DD$105=V85)*(DE$3:DE$105="D"))+SUMPRODUCT((DA$3:DA$105=V83)*(DD$3:DD$105=V85)*(DE$3:DE$105="D"))+SUMPRODUCT((DA$3:DA$105=V84)*(DD$3:DD$105=V85)*(DE$3:DE$105="D"))</f>
        <v>0</v>
      </c>
      <c r="Y85" s="231">
        <f>SUMPRODUCT((DA$3:DA$105=V85)*(DD$3:DD$105=V86)*(DE$3:DE$105="L"))+SUMPRODUCT((DA$3:DA$105=V85)*(DD$3:DD$105=V87)*(DE$3:DE$105="L"))+SUMPRODUCT((DA$3:DA$105=V85)*(DD$3:DD$105=V83)*(DE$3:DE$105="L"))+SUMPRODUCT((DA$3:DA$105=V85)*(DD$3:DD$105=V84)*(DE$3:DE$105="L"))+SUMPRODUCT((DA$3:DA$105=V86)*(DD$3:DD$105=V85)*(DF$3:DF$105="L"))+SUMPRODUCT((DA$3:DA$105=V87)*(DD$3:DD$105=V85)*(DF$3:DF$105="L"))+SUMPRODUCT((DA$3:DA$105=V83)*(DD$3:DD$105=V85)*(DF$3:DF$105="L"))+SUMPRODUCT((DA$3:DA$105=V84)*(DD$3:DD$105=V85)*(DF$3:DF$105="L"))</f>
        <v>0</v>
      </c>
      <c r="Z85" s="231">
        <f>SUMPRODUCT((DA$3:DA$105=V85)*(DD$3:DD$105=V86)*DB$3:DB$105)+SUMPRODUCT((DA$3:DA$105=V85)*(DD$3:DD$105=V87)*DB$3:DB$105)+SUMPRODUCT((DA$3:DA$105=V85)*(DD$3:DD$105=V83)*DB$3:DB$105)+SUMPRODUCT((DA$3:DA$105=V85)*(DD$3:DD$105=V84)*DB$3:DB$105)+SUMPRODUCT((DA$3:DA$105=V86)*(DD$3:DD$105=V85)*DC$3:DC$105)+SUMPRODUCT((DA$3:DA$105=V87)*(DD$3:DD$105=V85)*DC$3:DC$105)+SUMPRODUCT((DA$3:DA$105=V83)*(DD$3:DD$105=V85)*DC$3:DC$105)+SUMPRODUCT((DA$3:DA$105=V84)*(DD$3:DD$105=V85)*DC$3:DC$105)</f>
        <v>0</v>
      </c>
      <c r="AA85" s="231">
        <f>SUMPRODUCT((DA$3:DA$105=V85)*(DD$3:DD$105=V86)*DC$3:DC$105)+SUMPRODUCT((DA$3:DA$105=V85)*(DD$3:DD$105=V87)*DC$3:DC$105)+SUMPRODUCT((DA$3:DA$105=V85)*(DD$3:DD$105=V83)*DC$3:DC$105)+SUMPRODUCT((DA$3:DA$105=V85)*(DD$3:DD$105=V84)*DC$3:DC$105)+SUMPRODUCT((DA$3:DA$105=V86)*(DD$3:DD$105=V85)*DB$3:DB$105)+SUMPRODUCT((DA$3:DA$105=V87)*(DD$3:DD$105=V85)*DB$3:DB$105)+SUMPRODUCT((DA$3:DA$105=V83)*(DD$3:DD$105=V85)*DB$3:DB$105)+SUMPRODUCT((DA$3:DA$105=V84)*(DD$3:DD$105=V85)*DB$3:DB$105)</f>
        <v>0</v>
      </c>
      <c r="AB85" s="231">
        <f>Z85-AA85+1000</f>
        <v>1000</v>
      </c>
      <c r="AC85" s="231">
        <f t="shared" si="167"/>
        <v>0</v>
      </c>
      <c r="AD85" s="231">
        <f>IF(V85&lt;&gt;"",VLOOKUP(V85,C$4:I$52,7,FALSE),"")</f>
        <v>1000</v>
      </c>
      <c r="AE85" s="231">
        <f>IF(V85&lt;&gt;"",VLOOKUP(V85,C$4:I$52,5,FALSE),"")</f>
        <v>0</v>
      </c>
      <c r="AF85" s="231">
        <f>IF(V85&lt;&gt;"",VLOOKUP(V85,C$4:K$52,9,FALSE),"")</f>
        <v>-122</v>
      </c>
      <c r="AG85" s="231">
        <f t="shared" si="168"/>
        <v>0</v>
      </c>
      <c r="AH85" s="231">
        <f>IF(V85&lt;&gt;"",RANK(AG85,AG83:AG87),"")</f>
        <v>1</v>
      </c>
      <c r="AI85" s="231">
        <f>IF(V85&lt;&gt;"",SUMPRODUCT((AG83:AG87=AG85)*(AB83:AB87&gt;AB85)),"")</f>
        <v>0</v>
      </c>
      <c r="AJ85" s="231">
        <f>IF(V85&lt;&gt;"",SUMPRODUCT((AG83:AG87=AG85)*(AB83:AB87=AB85)*(Z83:Z87&gt;Z85)),"")</f>
        <v>0</v>
      </c>
      <c r="AK85" s="231">
        <f>IF(V85&lt;&gt;"",SUMPRODUCT((AG83:AG87=AG85)*(AB83:AB87=AB85)*(Z83:Z87=Z85)*(AD83:AD87&gt;AD85)),"")</f>
        <v>0</v>
      </c>
      <c r="AL85" s="231">
        <f>IF(V85&lt;&gt;"",SUMPRODUCT((AG83:AG87=AG85)*(AB83:AB87=AB85)*(Z83:Z87=Z85)*(AD83:AD87=AD85)*(AE83:AE87&gt;AE85)),"")</f>
        <v>0</v>
      </c>
      <c r="AM85" s="231">
        <f>IF(V85&lt;&gt;"",SUMPRODUCT((AG83:AG87=AG85)*(AB83:AB87=AB85)*(Z83:Z87=Z85)*(AD83:AD87=AD85)*(AE83:AE87=AE85)*(AF83:AF87&gt;AF85)),"")</f>
        <v>1</v>
      </c>
      <c r="AN85" s="231">
        <f>IF(V85&lt;&gt;"",SUM(AH85:AM85),"")</f>
        <v>2</v>
      </c>
      <c r="AO85" s="231" t="str">
        <f>IF(AP6&lt;&gt;"",SUMPRODUCT((AW4:AW7=AW6)*(AV4:AV7=AV6)*(AT4:AT7=AT6)*(AU4:AU7=AU6)),"")</f>
        <v/>
      </c>
      <c r="AP85" s="231" t="str">
        <f>IF(AND(AO85&lt;&gt;"",AO85&gt;1),AP6,"")</f>
        <v/>
      </c>
      <c r="AQ85" s="231">
        <f>SUMPRODUCT((DA$3:DA$105=AP85)*(DD$3:DD$105=AP86)*(DE$3:DE$105="W"))+SUMPRODUCT((DA$3:DA$105=AP85)*(DD$3:DD$105=AP87)*(DE$3:DE$105="W"))+SUMPRODUCT((DA$3:DA$105=AP85)*(DD$3:DD$105=AP84)*(DE$3:DE$105="W"))+SUMPRODUCT((DA$3:DA$105=AP86)*(DD$3:DD$105=AP85)*(DF$3:DF$105="W"))+SUMPRODUCT((DA$3:DA$105=AP87)*(DD$3:DD$105=AP85)*(DF$3:DF$105="W"))+SUMPRODUCT((DA$3:DA$105=AP84)*(DD$3:DD$105=AP85)*(DF$3:DF$105="W"))</f>
        <v>0</v>
      </c>
      <c r="AR85" s="231">
        <f>SUMPRODUCT((DA$3:DA$105=AP85)*(DD$3:DD$105=AP86)*(DE$3:DE$105="D"))+SUMPRODUCT((DA$3:DA$105=AP85)*(DD$3:DD$105=AP87)*(DE$3:DE$105="D"))+SUMPRODUCT((DA$3:DA$105=AP85)*(DD$3:DD$105=AP84)*(DE$3:DE$105="D"))+SUMPRODUCT((DA$3:DA$105=AP86)*(DD$3:DD$105=AP85)*(DE$3:DE$105="D"))+SUMPRODUCT((DA$3:DA$105=AP87)*(DD$3:DD$105=AP85)*(DE$3:DE$105="D"))+SUMPRODUCT((DA$3:DA$105=AP84)*(DD$3:DD$105=AP85)*(DE$3:DE$105="D"))</f>
        <v>0</v>
      </c>
      <c r="AS85" s="231">
        <f>SUMPRODUCT((DA$3:DA$105=AP85)*(DD$3:DD$105=AP86)*(DE$3:DE$105="L"))+SUMPRODUCT((DA$3:DA$105=AP85)*(DD$3:DD$105=AP87)*(DE$3:DE$105="L"))+SUMPRODUCT((DA$3:DA$105=AP85)*(DD$3:DD$105=AP84)*(DE$3:DE$105="L"))+SUMPRODUCT((DA$3:DA$105=AP86)*(DD$3:DD$105=AP85)*(DF$3:DF$105="L"))+SUMPRODUCT((DA$3:DA$105=AP87)*(DD$3:DD$105=AP85)*(DF$3:DF$105="L"))+SUMPRODUCT((DA$3:DA$105=AP84)*(DD$3:DD$105=AP85)*(DF$3:DF$105="L"))</f>
        <v>0</v>
      </c>
      <c r="AT85" s="231">
        <f>SUMPRODUCT((DA$3:DA$105=AP85)*(DD$3:DD$105=AP86)*DB$3:DB$105)+SUMPRODUCT((DA$3:DA$105=AP85)*(DD$3:DD$105=AP87)*DB$3:DB$105)+SUMPRODUCT((DA$3:DA$105=AP85)*(DD$3:DD$105=AP83)*DB$3:DB$105)+SUMPRODUCT((DA$3:DA$105=AP85)*(DD$3:DD$105=AP84)*DB$3:DB$105)+SUMPRODUCT((DA$3:DA$105=AP86)*(DD$3:DD$105=AP85)*DC$3:DC$105)+SUMPRODUCT((DA$3:DA$105=AP87)*(DD$3:DD$105=AP85)*DC$3:DC$105)+SUMPRODUCT((DA$3:DA$105=AP83)*(DD$3:DD$105=AP85)*DC$3:DC$105)+SUMPRODUCT((DA$3:DA$105=AP84)*(DD$3:DD$105=AP85)*DC$3:DC$105)</f>
        <v>0</v>
      </c>
      <c r="AU85" s="231">
        <f>SUMPRODUCT((DA$3:DA$105=AP85)*(DD$3:DD$105=AP86)*DC$3:DC$105)+SUMPRODUCT((DA$3:DA$105=AP85)*(DD$3:DD$105=AP87)*DC$3:DC$105)+SUMPRODUCT((DA$3:DA$105=AP85)*(DD$3:DD$105=AP83)*DC$3:DC$105)+SUMPRODUCT((DA$3:DA$105=AP85)*(DD$3:DD$105=AP84)*DC$3:DC$105)+SUMPRODUCT((DA$3:DA$105=AP86)*(DD$3:DD$105=AP85)*DB$3:DB$105)+SUMPRODUCT((DA$3:DA$105=AP87)*(DD$3:DD$105=AP85)*DB$3:DB$105)+SUMPRODUCT((DA$3:DA$105=AP83)*(DD$3:DD$105=AP85)*DB$3:DB$105)+SUMPRODUCT((DA$3:DA$105=AP84)*(DD$3:DD$105=AP85)*DB$3:DB$105)</f>
        <v>0</v>
      </c>
      <c r="AV85" s="231">
        <f>AT85-AU85+1000</f>
        <v>1000</v>
      </c>
      <c r="AW85" s="231" t="str">
        <f t="shared" si="169"/>
        <v/>
      </c>
      <c r="AX85" s="231" t="str">
        <f>IF(AP85&lt;&gt;"",VLOOKUP(AP85,C$4:I$52,7,FALSE),"")</f>
        <v/>
      </c>
      <c r="AY85" s="231" t="str">
        <f>IF(AP85&lt;&gt;"",VLOOKUP(AP85,C$4:I$52,5,FALSE),"")</f>
        <v/>
      </c>
      <c r="AZ85" s="231" t="str">
        <f>IF(AP85&lt;&gt;"",VLOOKUP(AP85,C$4:K$52,9,FALSE),"")</f>
        <v/>
      </c>
      <c r="BA85" s="231" t="str">
        <f t="shared" si="170"/>
        <v/>
      </c>
      <c r="BB85" s="231" t="str">
        <f>IF(AP85&lt;&gt;"",RANK(BA85,BA83:BA86),"")</f>
        <v/>
      </c>
      <c r="BC85" s="231" t="str">
        <f>IF(AP85&lt;&gt;"",SUMPRODUCT((BA83:BA86=BA85)*(AV83:AV86&gt;AV85)),"")</f>
        <v/>
      </c>
      <c r="BD85" s="231" t="str">
        <f>IF(AP85&lt;&gt;"",SUMPRODUCT((BA83:BA86=BA85)*(AV83:AV86=AV85)*(AT83:AT86&gt;AT85)),"")</f>
        <v/>
      </c>
      <c r="BE85" s="231" t="str">
        <f>IF(AP85&lt;&gt;"",SUMPRODUCT((BA83:BA86=BA85)*(AV83:AV86=AV85)*(AT83:AT86=AT85)*(AX83:AX86&gt;AX85)),"")</f>
        <v/>
      </c>
      <c r="BF85" s="231" t="str">
        <f>IF(AP85&lt;&gt;"",SUMPRODUCT((BA83:BA86=BA85)*(AV83:AV86=AV85)*(AT83:AT86=AT85)*(AX83:AX86=AX85)*(AY83:AY86&gt;AY85)),"")</f>
        <v/>
      </c>
      <c r="BG85" s="231" t="str">
        <f>IF(AP85&lt;&gt;"",SUMPRODUCT((BA83:BA86=BA85)*(AV83:AV86=AV85)*(AT83:AT86=AT85)*(AX83:AX86=AX85)*(AY83:AY86=AY85)*(AZ83:AZ86&gt;AZ85)),"")</f>
        <v/>
      </c>
      <c r="BH85" s="231" t="str">
        <f t="shared" ref="BH85:BH86" si="171">IF(AP85&lt;&gt;"",SUM(BB85:BG85)+1,"")</f>
        <v/>
      </c>
      <c r="DS85" s="233" t="str">
        <f>Matches!H106</f>
        <v>Match 99 Winner</v>
      </c>
      <c r="DU85" s="233" t="str">
        <f>IF(ISERROR("Calculator!"&amp;VLOOKUP(DS85,Calculator!$DS$7:$DT$54,2,FALSE)),"Calculator!dr77","Calculator!"&amp;VLOOKUP(DS85,Calculator!$DS$7:$DT$54,2,FALSE))</f>
        <v>Calculator!dr77</v>
      </c>
      <c r="DX85" s="230"/>
      <c r="DY85" s="243">
        <v>78</v>
      </c>
      <c r="DZ85" s="244">
        <f t="shared" si="158"/>
        <v>46203.541666666664</v>
      </c>
      <c r="EA85" s="247">
        <v>46203.541666666664</v>
      </c>
      <c r="EB85" s="246">
        <f t="shared" si="75"/>
        <v>46203.541666666664</v>
      </c>
      <c r="EC85" s="230"/>
    </row>
    <row r="86" spans="9:133" x14ac:dyDescent="0.25">
      <c r="J86" s="231">
        <f>IF(COUNTIF(J$4:J$7,4)=4,1,SUMPRODUCT((J$4:J$7=J7)*(I$4:I$7=I7)*(G$4:G$7&gt;G7))+1)</f>
        <v>1</v>
      </c>
      <c r="U86" s="231">
        <f>IF(V7&lt;&gt;"",SUMPRODUCT((AC4:AC7=AC7)*(AB4:AB7=AB7)*(Z4:Z7=Z7)*(AA4:AA7=AA7)),"")</f>
        <v>4</v>
      </c>
      <c r="V86" s="231" t="str">
        <f>IF(AND(U86&lt;&gt;"",U86&gt;1),V7,"")</f>
        <v>Mexico</v>
      </c>
      <c r="W86" s="231">
        <f>SUMPRODUCT((DA$3:DA$105=V86)*(DD$3:DD$105=V87)*(DE$3:DE$105="W"))+SUMPRODUCT((DA$3:DA$105=V86)*(DD$3:DD$105=V83)*(DE$3:DE$105="W"))+SUMPRODUCT((DA$3:DA$105=V86)*(DD$3:DD$105=V84)*(DE$3:DE$105="W"))+SUMPRODUCT((DA$3:DA$105=V86)*(DD$3:DD$105=V85)*(DE$3:DE$105="W"))+SUMPRODUCT((DA$3:DA$105=V87)*(DD$3:DD$105=V86)*(DF$3:DF$105="W"))+SUMPRODUCT((DA$3:DA$105=V83)*(DD$3:DD$105=V86)*(DF$3:DF$105="W"))+SUMPRODUCT((DA$3:DA$105=V84)*(DD$3:DD$105=V86)*(DF$3:DF$105="W"))+SUMPRODUCT((DA$3:DA$105=V85)*(DD$3:DD$105=V86)*(DF$3:DF$105="W"))</f>
        <v>0</v>
      </c>
      <c r="X86" s="231">
        <f>SUMPRODUCT((DA$3:DA$105=V86)*(DD$3:DD$105=V87)*(DE$3:DE$105="D"))+SUMPRODUCT((DA$3:DA$105=V86)*(DD$3:DD$105=V83)*(DE$3:DE$105="D"))+SUMPRODUCT((DA$3:DA$105=V86)*(DD$3:DD$105=V84)*(DE$3:DE$105="D"))+SUMPRODUCT((DA$3:DA$105=V86)*(DD$3:DD$105=V85)*(DE$3:DE$105="D"))+SUMPRODUCT((DA$3:DA$105=V87)*(DD$3:DD$105=V86)*(DE$3:DE$105="D"))+SUMPRODUCT((DA$3:DA$105=V83)*(DD$3:DD$105=V86)*(DE$3:DE$105="D"))+SUMPRODUCT((DA$3:DA$105=V84)*(DD$3:DD$105=V86)*(DE$3:DE$105="D"))+SUMPRODUCT((DA$3:DA$105=V85)*(DD$3:DD$105=V86)*(DE$3:DE$105="D"))</f>
        <v>0</v>
      </c>
      <c r="Y86" s="231">
        <f>SUMPRODUCT((DA$3:DA$105=V86)*(DD$3:DD$105=V87)*(DE$3:DE$105="L"))+SUMPRODUCT((DA$3:DA$105=V86)*(DD$3:DD$105=V83)*(DE$3:DE$105="L"))+SUMPRODUCT((DA$3:DA$105=V86)*(DD$3:DD$105=V84)*(DE$3:DE$105="L"))+SUMPRODUCT((DA$3:DA$105=V86)*(DD$3:DD$105=V85)*(DE$3:DE$105="L"))+SUMPRODUCT((DA$3:DA$105=V87)*(DD$3:DD$105=V86)*(DF$3:DF$105="L"))+SUMPRODUCT((DA$3:DA$105=V83)*(DD$3:DD$105=V86)*(DF$3:DF$105="L"))+SUMPRODUCT((DA$3:DA$105=V84)*(DD$3:DD$105=V86)*(DF$3:DF$105="L"))+SUMPRODUCT((DA$3:DA$105=V85)*(DD$3:DD$105=V86)*(DF$3:DF$105="L"))</f>
        <v>0</v>
      </c>
      <c r="Z86" s="231">
        <f>SUMPRODUCT((DA$3:DA$105=V86)*(DD$3:DD$105=V87)*DB$3:DB$105)+SUMPRODUCT((DA$3:DA$105=V86)*(DD$3:DD$105=V83)*DB$3:DB$105)+SUMPRODUCT((DA$3:DA$105=V86)*(DD$3:DD$105=V84)*DB$3:DB$105)+SUMPRODUCT((DA$3:DA$105=V86)*(DD$3:DD$105=V85)*DB$3:DB$105)+SUMPRODUCT((DA$3:DA$105=V87)*(DD$3:DD$105=V86)*DC$3:DC$105)+SUMPRODUCT((DA$3:DA$105=V83)*(DD$3:DD$105=V86)*DC$3:DC$105)+SUMPRODUCT((DA$3:DA$105=V84)*(DD$3:DD$105=V86)*DC$3:DC$105)+SUMPRODUCT((DA$3:DA$105=V85)*(DD$3:DD$105=V86)*DC$3:DC$105)</f>
        <v>0</v>
      </c>
      <c r="AA86" s="231">
        <f>SUMPRODUCT((DA$3:DA$105=V86)*(DD$3:DD$105=V87)*DC$3:DC$105)+SUMPRODUCT((DA$3:DA$105=V86)*(DD$3:DD$105=V83)*DC$3:DC$105)+SUMPRODUCT((DA$3:DA$105=V86)*(DD$3:DD$105=V84)*DC$3:DC$105)+SUMPRODUCT((DA$3:DA$105=V86)*(DD$3:DD$105=V85)*DC$3:DC$105)+SUMPRODUCT((DA$3:DA$105=V87)*(DD$3:DD$105=V86)*DB$3:DB$105)+SUMPRODUCT((DA$3:DA$105=V83)*(DD$3:DD$105=V86)*DB$3:DB$105)+SUMPRODUCT((DA$3:DA$105=V84)*(DD$3:DD$105=V86)*DB$3:DB$105)+SUMPRODUCT((DA$3:DA$105=V85)*(DD$3:DD$105=V86)*DB$3:DB$105)</f>
        <v>0</v>
      </c>
      <c r="AB86" s="231">
        <f>Z86-AA86+1000</f>
        <v>1000</v>
      </c>
      <c r="AC86" s="231">
        <f t="shared" si="167"/>
        <v>0</v>
      </c>
      <c r="AD86" s="231">
        <f>IF(V86&lt;&gt;"",VLOOKUP(V86,C$4:I$52,7,FALSE),"")</f>
        <v>1000</v>
      </c>
      <c r="AE86" s="231">
        <f>IF(V86&lt;&gt;"",VLOOKUP(V86,C$4:I$52,5,FALSE),"")</f>
        <v>0</v>
      </c>
      <c r="AF86" s="231">
        <f>IF(V86&lt;&gt;"",VLOOKUP(V86,C$4:K$52,9,FALSE),"")</f>
        <v>-116</v>
      </c>
      <c r="AG86" s="231">
        <f t="shared" si="168"/>
        <v>0</v>
      </c>
      <c r="AH86" s="231">
        <f>IF(V86&lt;&gt;"",RANK(AG86,AG83:AG87),"")</f>
        <v>1</v>
      </c>
      <c r="AI86" s="231">
        <f>IF(V86&lt;&gt;"",SUMPRODUCT((AG83:AG87=AG86)*(AB83:AB87&gt;AB86)),"")</f>
        <v>0</v>
      </c>
      <c r="AJ86" s="231">
        <f>IF(V86&lt;&gt;"",SUMPRODUCT((AG83:AG87=AG86)*(AB83:AB87=AB86)*(Z83:Z87&gt;Z86)),"")</f>
        <v>0</v>
      </c>
      <c r="AK86" s="231">
        <f>IF(V86&lt;&gt;"",SUMPRODUCT((AG83:AG87=AG86)*(AB83:AB87=AB86)*(Z83:Z87=Z86)*(AD83:AD87&gt;AD86)),"")</f>
        <v>0</v>
      </c>
      <c r="AL86" s="231">
        <f>IF(V86&lt;&gt;"",SUMPRODUCT((AG83:AG87=AG86)*(AB83:AB87=AB86)*(Z83:Z87=Z86)*(AD83:AD87=AD86)*(AE83:AE87&gt;AE86)),"")</f>
        <v>0</v>
      </c>
      <c r="AM86" s="231">
        <f>IF(V86&lt;&gt;"",SUMPRODUCT((AG83:AG87=AG86)*(AB83:AB87=AB86)*(Z83:Z87=Z86)*(AD83:AD87=AD86)*(AE83:AE87=AE86)*(AF83:AF87&gt;AF86)),"")</f>
        <v>0</v>
      </c>
      <c r="AN86" s="231">
        <f>IF(V86&lt;&gt;"",SUM(AH86:AM86),"")</f>
        <v>1</v>
      </c>
      <c r="AO86" s="231" t="str">
        <f>IF(AP7&lt;&gt;"",SUMPRODUCT((AW4:AW7=AW7)*(AV4:AV7=AV7)*(AT4:AT7=AT7)*(AU4:AU7=AU7)),"")</f>
        <v/>
      </c>
      <c r="AP86" s="231" t="str">
        <f>IF(AND(AO86&lt;&gt;"",AO86&gt;1),AP7,"")</f>
        <v/>
      </c>
      <c r="AQ86" s="231">
        <f>SUMPRODUCT((DA$3:DA$105=AP86)*(DD$3:DD$105=AP87)*(DE$3:DE$105="W"))+SUMPRODUCT((DA$3:DA$105=AP86)*(DD$3:DD$105=AP84)*(DE$3:DE$105="W"))+SUMPRODUCT((DA$3:DA$105=AP86)*(DD$3:DD$105=AP85)*(DE$3:DE$105="W"))+SUMPRODUCT((DA$3:DA$105=AP87)*(DD$3:DD$105=AP86)*(DF$3:DF$105="W"))+SUMPRODUCT((DA$3:DA$105=AP84)*(DD$3:DD$105=AP86)*(DF$3:DF$105="W"))+SUMPRODUCT((DA$3:DA$105=AP85)*(DD$3:DD$105=AP86)*(DF$3:DF$105="W"))</f>
        <v>0</v>
      </c>
      <c r="AR86" s="231">
        <f>SUMPRODUCT((DA$3:DA$105=AP86)*(DD$3:DD$105=AP87)*(DE$3:DE$105="D"))+SUMPRODUCT((DA$3:DA$105=AP86)*(DD$3:DD$105=AP84)*(DE$3:DE$105="D"))+SUMPRODUCT((DA$3:DA$105=AP86)*(DD$3:DD$105=AP85)*(DE$3:DE$105="D"))+SUMPRODUCT((DA$3:DA$105=AP87)*(DD$3:DD$105=AP86)*(DE$3:DE$105="D"))+SUMPRODUCT((DA$3:DA$105=AP84)*(DD$3:DD$105=AP86)*(DE$3:DE$105="D"))+SUMPRODUCT((DA$3:DA$105=AP85)*(DD$3:DD$105=AP86)*(DE$3:DE$105="D"))</f>
        <v>0</v>
      </c>
      <c r="AS86" s="231">
        <f>SUMPRODUCT((DA$3:DA$105=AP86)*(DD$3:DD$105=AP87)*(DE$3:DE$105="L"))+SUMPRODUCT((DA$3:DA$105=AP86)*(DD$3:DD$105=AP84)*(DE$3:DE$105="L"))+SUMPRODUCT((DA$3:DA$105=AP86)*(DD$3:DD$105=AP85)*(DE$3:DE$105="L"))+SUMPRODUCT((DA$3:DA$105=AP87)*(DD$3:DD$105=AP86)*(DF$3:DF$105="L"))+SUMPRODUCT((DA$3:DA$105=AP84)*(DD$3:DD$105=AP86)*(DF$3:DF$105="L"))+SUMPRODUCT((DA$3:DA$105=AP85)*(DD$3:DD$105=AP86)*(DF$3:DF$105="L"))</f>
        <v>0</v>
      </c>
      <c r="AT86" s="231">
        <f>SUMPRODUCT((DA$3:DA$105=AP86)*(DD$3:DD$105=AP87)*DB$3:DB$105)+SUMPRODUCT((DA$3:DA$105=AP86)*(DD$3:DD$105=AP83)*DB$3:DB$105)+SUMPRODUCT((DA$3:DA$105=AP86)*(DD$3:DD$105=AP84)*DB$3:DB$105)+SUMPRODUCT((DA$3:DA$105=AP86)*(DD$3:DD$105=AP85)*DB$3:DB$105)+SUMPRODUCT((DA$3:DA$105=AP87)*(DD$3:DD$105=AP86)*DC$3:DC$105)+SUMPRODUCT((DA$3:DA$105=AP83)*(DD$3:DD$105=AP86)*DC$3:DC$105)+SUMPRODUCT((DA$3:DA$105=AP84)*(DD$3:DD$105=AP86)*DC$3:DC$105)+SUMPRODUCT((DA$3:DA$105=AP85)*(DD$3:DD$105=AP86)*DC$3:DC$105)</f>
        <v>0</v>
      </c>
      <c r="AU86" s="231">
        <f>SUMPRODUCT((DA$3:DA$105=AP86)*(DD$3:DD$105=AP87)*DC$3:DC$105)+SUMPRODUCT((DA$3:DA$105=AP86)*(DD$3:DD$105=AP83)*DC$3:DC$105)+SUMPRODUCT((DA$3:DA$105=AP86)*(DD$3:DD$105=AP84)*DC$3:DC$105)+SUMPRODUCT((DA$3:DA$105=AP86)*(DD$3:DD$105=AP85)*DC$3:DC$105)+SUMPRODUCT((DA$3:DA$105=AP87)*(DD$3:DD$105=AP86)*DB$3:DB$105)+SUMPRODUCT((DA$3:DA$105=AP83)*(DD$3:DD$105=AP86)*DB$3:DB$105)+SUMPRODUCT((DA$3:DA$105=AP84)*(DD$3:DD$105=AP86)*DB$3:DB$105)+SUMPRODUCT((DA$3:DA$105=AP85)*(DD$3:DD$105=AP86)*DB$3:DB$105)</f>
        <v>0</v>
      </c>
      <c r="AV86" s="231">
        <f>AT86-AU86+1000</f>
        <v>1000</v>
      </c>
      <c r="AW86" s="231" t="str">
        <f t="shared" si="169"/>
        <v/>
      </c>
      <c r="AX86" s="231" t="str">
        <f>IF(AP86&lt;&gt;"",VLOOKUP(AP86,C$4:I$52,7,FALSE),"")</f>
        <v/>
      </c>
      <c r="AY86" s="231" t="str">
        <f>IF(AP86&lt;&gt;"",VLOOKUP(AP86,C$4:I$52,5,FALSE),"")</f>
        <v/>
      </c>
      <c r="AZ86" s="231" t="str">
        <f>IF(AP86&lt;&gt;"",VLOOKUP(AP86,C$4:K$52,9,FALSE),"")</f>
        <v/>
      </c>
      <c r="BA86" s="231" t="str">
        <f t="shared" si="170"/>
        <v/>
      </c>
      <c r="BB86" s="231" t="str">
        <f>IF(AP86&lt;&gt;"",RANK(BA86,BA83:BA86),"")</f>
        <v/>
      </c>
      <c r="BC86" s="231" t="str">
        <f>IF(AP86&lt;&gt;"",SUMPRODUCT((BA83:BA86=BA86)*(AV83:AV86&gt;AV86)),"")</f>
        <v/>
      </c>
      <c r="BD86" s="231" t="str">
        <f>IF(AP86&lt;&gt;"",SUMPRODUCT((BA83:BA86=BA86)*(AV83:AV86=AV86)*(AT83:AT86&gt;AT86)),"")</f>
        <v/>
      </c>
      <c r="BE86" s="231" t="str">
        <f>IF(AP86&lt;&gt;"",SUMPRODUCT((BA83:BA86=BA86)*(AV83:AV86=AV86)*(AT83:AT86=AT86)*(AX83:AX86&gt;AX86)),"")</f>
        <v/>
      </c>
      <c r="BF86" s="231" t="str">
        <f>IF(AP86&lt;&gt;"",SUMPRODUCT((BA83:BA86=BA86)*(AV83:AV86=AV86)*(AT83:AT86=AT86)*(AX83:AX86=AX86)*(AY83:AY86&gt;AY86)),"")</f>
        <v/>
      </c>
      <c r="BG86" s="231" t="str">
        <f>IF(AP86&lt;&gt;"",SUMPRODUCT((BA83:BA86=BA86)*(AV83:AV86=AV86)*(AT83:AT86=AT86)*(AX83:AX86=AX86)*(AY83:AY86=AY86)*(AZ83:AZ86&gt;AZ86)),"")</f>
        <v/>
      </c>
      <c r="BH86" s="231" t="str">
        <f t="shared" si="171"/>
        <v/>
      </c>
      <c r="DS86" s="233" t="str">
        <f>Matches!H107</f>
        <v>Match 101 Loser</v>
      </c>
      <c r="DU86" s="233" t="str">
        <f>IF(ISERROR("Calculator!"&amp;VLOOKUP(DS86,Calculator!$DS$7:$DT$54,2,FALSE)),"Calculator!dr77","Calculator!"&amp;VLOOKUP(DS86,Calculator!$DS$7:$DT$54,2,FALSE))</f>
        <v>Calculator!dr77</v>
      </c>
      <c r="DX86" s="230"/>
      <c r="DY86" s="243">
        <v>79</v>
      </c>
      <c r="DZ86" s="244">
        <f t="shared" si="158"/>
        <v>46203.875</v>
      </c>
      <c r="EA86" s="247">
        <v>46203.875</v>
      </c>
      <c r="EB86" s="246">
        <f t="shared" si="75"/>
        <v>46203.875</v>
      </c>
      <c r="EC86" s="230"/>
    </row>
    <row r="87" spans="9:133" x14ac:dyDescent="0.25">
      <c r="DS87" s="233" t="str">
        <f>Matches!H108</f>
        <v>Match 101 Winner</v>
      </c>
      <c r="DU87" s="233" t="str">
        <f>IF(ISERROR("Calculator!"&amp;VLOOKUP(DS87,Calculator!$DS$7:$DT$54,2,FALSE)),"Calculator!dr77","Calculator!"&amp;VLOOKUP(DS87,Calculator!$DS$7:$DT$54,2,FALSE))</f>
        <v>Calculator!dr77</v>
      </c>
      <c r="DX87" s="230"/>
      <c r="DY87" s="243">
        <v>80</v>
      </c>
      <c r="DZ87" s="244">
        <f t="shared" si="158"/>
        <v>46204.5</v>
      </c>
      <c r="EA87" s="247">
        <v>46204.5</v>
      </c>
      <c r="EB87" s="246">
        <f t="shared" si="75"/>
        <v>46204.5</v>
      </c>
      <c r="EC87" s="230"/>
    </row>
    <row r="88" spans="9:133" x14ac:dyDescent="0.25">
      <c r="DS88" s="233" t="str">
        <f>Matches!M77</f>
        <v>Group B Runner Up</v>
      </c>
      <c r="DU88" s="233" t="str">
        <f>IF(ISERROR("Calculator!"&amp;VLOOKUP(DS88,Calculator!$DS$7:$DT$54,2,FALSE)),"Calculator!dr77","Calculator!"&amp;VLOOKUP(DS88,Calculator!$DS$7:$DT$54,2,FALSE))</f>
        <v>Calculator!dr77</v>
      </c>
      <c r="DX88" s="230"/>
      <c r="DY88" s="243">
        <v>81</v>
      </c>
      <c r="DZ88" s="244">
        <f t="shared" si="158"/>
        <v>46204.833333333336</v>
      </c>
      <c r="EA88" s="247">
        <v>46204.833333333336</v>
      </c>
      <c r="EB88" s="246">
        <f t="shared" si="75"/>
        <v>46204.833333333336</v>
      </c>
      <c r="EC88" s="230"/>
    </row>
    <row r="89" spans="9:133" x14ac:dyDescent="0.25">
      <c r="U89" s="231">
        <f>IF(V90="",SUM(AH11:AM11),IF(V91="",SUM(AH12:AM12),IF(V92="",SUM(AH13:AM13),IF(V93="",SUM(AH14:AM14),0))))</f>
        <v>0</v>
      </c>
      <c r="AO89" s="231">
        <f>IF(AP91="",SUM(BB12:BG12),IF(AP92="",SUM(BB13:BG13),IF(AP93="",SUM(BB14:BG14),0)))</f>
        <v>0</v>
      </c>
      <c r="DS89" s="233" t="str">
        <f>Matches!M78</f>
        <v>3rd Group A/B/C/D/F</v>
      </c>
      <c r="DU89" s="233" t="str">
        <f>IF(ISERROR("Calculator!"&amp;VLOOKUP(DS89,Calculator!$DS$7:$DT$54,2,FALSE)),"Calculator!dr77","Calculator!"&amp;VLOOKUP(DS89,Calculator!$DS$7:$DT$54,2,FALSE))</f>
        <v>Calculator!dr77</v>
      </c>
      <c r="DX89" s="230"/>
      <c r="DY89" s="243">
        <v>82</v>
      </c>
      <c r="DZ89" s="244">
        <f t="shared" si="158"/>
        <v>46204.666666666664</v>
      </c>
      <c r="EA89" s="247">
        <v>46204.666666666664</v>
      </c>
      <c r="EB89" s="246">
        <f t="shared" si="75"/>
        <v>46204.666666666664</v>
      </c>
      <c r="EC89" s="230"/>
    </row>
    <row r="90" spans="9:133" x14ac:dyDescent="0.25">
      <c r="J90" s="231">
        <f>IF(COUNTIF(J$11:J$14,4)=4,1,SUMPRODUCT((J$11:J$14=J11)*(I$11:I$14=I11)*(G$11:G$14&gt;G11))+1)</f>
        <v>1</v>
      </c>
      <c r="U90" s="231">
        <f>IF(V11&lt;&gt;"",SUMPRODUCT((AC11:AC14=AC11)*(AB11:AB14=AB11)*(Z11:Z14=Z11)*(AA11:AA14=AA11)),"")</f>
        <v>4</v>
      </c>
      <c r="V90" s="231" t="str">
        <f>IF(AND(U90&lt;&gt;"",U90&gt;1),V11,"")</f>
        <v>Bosnia and Herzegovina</v>
      </c>
      <c r="W90" s="231">
        <f>SUMPRODUCT((DA$3:DA$105=V90)*(DD$3:DD$105=V91)*(DE$3:DE$105="W"))+SUMPRODUCT((DA$3:DA$105=V90)*(DD$3:DD$105=V92)*(DE$3:DE$105="W"))+SUMPRODUCT((DA$3:DA$105=V90)*(DD$3:DD$105=V93)*(DE$3:DE$105="W"))+SUMPRODUCT((DA$3:DA$105=V90)*(DD$3:DD$105=V94)*(DE$3:DE$105="W"))+SUMPRODUCT((DA$3:DA$105=V91)*(DD$3:DD$105=V90)*(DF$3:DF$105="W"))+SUMPRODUCT((DA$3:DA$105=V92)*(DD$3:DD$105=V90)*(DF$3:DF$105="W"))+SUMPRODUCT((DA$3:DA$105=V93)*(DD$3:DD$105=V90)*(DF$3:DF$105="W"))+SUMPRODUCT((DA$3:DA$105=V94)*(DD$3:DD$105=V90)*(DF$3:DF$105="W"))</f>
        <v>0</v>
      </c>
      <c r="X90" s="231">
        <f>SUMPRODUCT((DA$3:DA$105=V90)*(DD$3:DD$105=V91)*(DE$3:DE$105="D"))+SUMPRODUCT((DA$3:DA$105=V90)*(DD$3:DD$105=V92)*(DE$3:DE$105="D"))+SUMPRODUCT((DA$3:DA$105=V90)*(DD$3:DD$105=V93)*(DE$3:DE$105="D"))+SUMPRODUCT((DA$3:DA$105=V90)*(DD$3:DD$105=V94)*(DE$3:DE$105="D"))+SUMPRODUCT((DA$3:DA$105=V91)*(DD$3:DD$105=V90)*(DE$3:DE$105="D"))+SUMPRODUCT((DA$3:DA$105=V92)*(DD$3:DD$105=V90)*(DE$3:DE$105="D"))+SUMPRODUCT((DA$3:DA$105=V93)*(DD$3:DD$105=V90)*(DE$3:DE$105="D"))+SUMPRODUCT((DA$3:DA$105=V94)*(DD$3:DD$105=V90)*(DE$3:DE$105="D"))</f>
        <v>0</v>
      </c>
      <c r="Y90" s="231">
        <f>SUMPRODUCT((DA$3:DA$105=V90)*(DD$3:DD$105=V91)*(DE$3:DE$105="L"))+SUMPRODUCT((DA$3:DA$105=V90)*(DD$3:DD$105=V92)*(DE$3:DE$105="L"))+SUMPRODUCT((DA$3:DA$105=V90)*(DD$3:DD$105=V93)*(DE$3:DE$105="L"))+SUMPRODUCT((DA$3:DA$105=V90)*(DD$3:DD$105=V94)*(DE$3:DE$105="L"))+SUMPRODUCT((DA$3:DA$105=V91)*(DD$3:DD$105=V90)*(DF$3:DF$105="L"))+SUMPRODUCT((DA$3:DA$105=V92)*(DD$3:DD$105=V90)*(DF$3:DF$105="L"))+SUMPRODUCT((DA$3:DA$105=V93)*(DD$3:DD$105=V90)*(DF$3:DF$105="L"))+SUMPRODUCT((DA$3:DA$105=V94)*(DD$3:DD$105=V90)*(DF$3:DF$105="L"))</f>
        <v>0</v>
      </c>
      <c r="Z90" s="231">
        <f>SUMPRODUCT((DA$3:DA$105=V90)*(DD$3:DD$105=V91)*DB$3:DB$105)+SUMPRODUCT((DA$3:DA$105=V90)*(DD$3:DD$105=V92)*DB$3:DB$105)+SUMPRODUCT((DA$3:DA$105=V90)*(DD$3:DD$105=V93)*DB$3:DB$105)+SUMPRODUCT((DA$3:DA$105=V90)*(DD$3:DD$105=V94)*DB$3:DB$105)+SUMPRODUCT((DA$3:DA$105=V91)*(DD$3:DD$105=V90)*DC$3:DC$105)+SUMPRODUCT((DA$3:DA$105=V92)*(DD$3:DD$105=V90)*DC$3:DC$105)+SUMPRODUCT((DA$3:DA$105=V93)*(DD$3:DD$105=V90)*DC$3:DC$105)+SUMPRODUCT((DA$3:DA$105=V94)*(DD$3:DD$105=V90)*DC$3:DC$105)</f>
        <v>0</v>
      </c>
      <c r="AA90" s="231">
        <f>SUMPRODUCT((DA$3:DA$105=V90)*(DD$3:DD$105=V91)*DC$3:DC$105)+SUMPRODUCT((DA$3:DA$105=V90)*(DD$3:DD$105=V92)*DC$3:DC$105)+SUMPRODUCT((DA$3:DA$105=V90)*(DD$3:DD$105=V93)*DC$3:DC$105)+SUMPRODUCT((DA$3:DA$105=V90)*(DD$3:DD$105=V94)*DC$3:DC$105)+SUMPRODUCT((DA$3:DA$105=V91)*(DD$3:DD$105=V90)*DB$3:DB$105)+SUMPRODUCT((DA$3:DA$105=V92)*(DD$3:DD$105=V90)*DB$3:DB$105)+SUMPRODUCT((DA$3:DA$105=V93)*(DD$3:DD$105=V90)*DB$3:DB$105)+SUMPRODUCT((DA$3:DA$105=V94)*(DD$3:DD$105=V90)*DB$3:DB$105)</f>
        <v>0</v>
      </c>
      <c r="AB90" s="231">
        <f>Z90-AA90+1000</f>
        <v>1000</v>
      </c>
      <c r="AC90" s="231">
        <f t="shared" ref="AC90:AC93" si="172">IF(V90&lt;&gt;"",W90*3+X90*1,"")</f>
        <v>0</v>
      </c>
      <c r="AD90" s="231">
        <f>IF(V90&lt;&gt;"",VLOOKUP(V90,C$4:I$52,7,FALSE),"")</f>
        <v>1000</v>
      </c>
      <c r="AE90" s="231">
        <f>IF(V90&lt;&gt;"",VLOOKUP(V90,C$4:I$52,5,FALSE),"")</f>
        <v>0</v>
      </c>
      <c r="AF90" s="231">
        <f>IF(V90&lt;&gt;"",VLOOKUP(V90,C$4:K$52,9,FALSE),"")</f>
        <v>-171</v>
      </c>
      <c r="AG90" s="231">
        <f>AC90</f>
        <v>0</v>
      </c>
      <c r="AH90" s="231">
        <f>IF(V90&lt;&gt;"",RANK(AG90,AG90:AG93),"")</f>
        <v>1</v>
      </c>
      <c r="AI90" s="231">
        <f>IF(V90&lt;&gt;"",SUMPRODUCT((AG90:AG93=AG90)*(AB90:AB93&gt;AB90)),"")</f>
        <v>0</v>
      </c>
      <c r="AJ90" s="231">
        <f>IF(V90&lt;&gt;"",SUMPRODUCT((AG90:AG93=AG90)*(AB90:AB93=AB90)*(Z90:Z93&gt;Z90)),"")</f>
        <v>0</v>
      </c>
      <c r="AK90" s="231">
        <f>IF(V90&lt;&gt;"",SUMPRODUCT((AG90:AG93=AG90)*(AB90:AB93=AB90)*(Z90:Z93=Z90)*(AD90:AD93&gt;AD90)),"")</f>
        <v>0</v>
      </c>
      <c r="AL90" s="231">
        <f>IF(V90&lt;&gt;"",SUMPRODUCT((AG90:AG93=AG90)*(AB90:AB93=AB90)*(Z90:Z93=Z90)*(AD90:AD93=AD90)*(AE90:AE93&gt;AE90)),"")</f>
        <v>0</v>
      </c>
      <c r="AM90" s="231">
        <f>IF(V90&lt;&gt;"",SUMPRODUCT((AG90:AG93=AG90)*(AB90:AB93=AB90)*(Z90:Z93=Z90)*(AD90:AD93=AD90)*(AE90:AE93=AE90)*(AF90:AF93&gt;AF90)),"")</f>
        <v>3</v>
      </c>
      <c r="AN90" s="231">
        <f>IF(V90&lt;&gt;"",SUM(AH90:AM90),"")</f>
        <v>4</v>
      </c>
      <c r="DS90" s="233" t="str">
        <f>Matches!M79</f>
        <v>Group C Runner Up</v>
      </c>
      <c r="DU90" s="233" t="str">
        <f>IF(ISERROR("Calculator!"&amp;VLOOKUP(DS90,Calculator!$DS$7:$DT$54,2,FALSE)),"Calculator!dr77","Calculator!"&amp;VLOOKUP(DS90,Calculator!$DS$7:$DT$54,2,FALSE))</f>
        <v>Calculator!dr77</v>
      </c>
      <c r="DX90" s="230"/>
      <c r="DY90" s="243">
        <v>83</v>
      </c>
      <c r="DZ90" s="244">
        <f t="shared" si="158"/>
        <v>46205.791666666664</v>
      </c>
      <c r="EA90" s="247">
        <v>46205.791666666664</v>
      </c>
      <c r="EB90" s="246">
        <f t="shared" si="75"/>
        <v>46205.791666666664</v>
      </c>
      <c r="EC90" s="230"/>
    </row>
    <row r="91" spans="9:133" x14ac:dyDescent="0.25">
      <c r="J91" s="231">
        <f>IF(COUNTIF(J$11:J$14,4)=4,1,SUMPRODUCT((J$11:J$14=J12)*(I$11:I$14=I12)*(G$11:G$14&gt;G12))+1)</f>
        <v>1</v>
      </c>
      <c r="U91" s="231">
        <f>IF(V12&lt;&gt;"",SUMPRODUCT((AC11:AC14=AC12)*(AB11:AB14=AB12)*(Z11:Z14=Z12)*(AA11:AA14=AA12)),"")</f>
        <v>4</v>
      </c>
      <c r="V91" s="231" t="str">
        <f>IF(AND(U91&lt;&gt;"",U91&gt;1),V12,"")</f>
        <v>Qatar</v>
      </c>
      <c r="W91" s="231">
        <f>SUMPRODUCT((DA$3:DA$105=V91)*(DD$3:DD$105=V92)*(DE$3:DE$105="W"))+SUMPRODUCT((DA$3:DA$105=V91)*(DD$3:DD$105=V93)*(DE$3:DE$105="W"))+SUMPRODUCT((DA$3:DA$105=V91)*(DD$3:DD$105=V94)*(DE$3:DE$105="W"))+SUMPRODUCT((DA$3:DA$105=V91)*(DD$3:DD$105=V90)*(DE$3:DE$105="W"))+SUMPRODUCT((DA$3:DA$105=V92)*(DD$3:DD$105=V91)*(DF$3:DF$105="W"))+SUMPRODUCT((DA$3:DA$105=V93)*(DD$3:DD$105=V91)*(DF$3:DF$105="W"))+SUMPRODUCT((DA$3:DA$105=V94)*(DD$3:DD$105=V91)*(DF$3:DF$105="W"))+SUMPRODUCT((DA$3:DA$105=V90)*(DD$3:DD$105=V91)*(DF$3:DF$105="W"))</f>
        <v>0</v>
      </c>
      <c r="X91" s="231">
        <f>SUMPRODUCT((DA$3:DA$105=V91)*(DD$3:DD$105=V92)*(DE$3:DE$105="D"))+SUMPRODUCT((DA$3:DA$105=V91)*(DD$3:DD$105=V93)*(DE$3:DE$105="D"))+SUMPRODUCT((DA$3:DA$105=V91)*(DD$3:DD$105=V94)*(DE$3:DE$105="D"))+SUMPRODUCT((DA$3:DA$105=V91)*(DD$3:DD$105=V90)*(DE$3:DE$105="D"))+SUMPRODUCT((DA$3:DA$105=V92)*(DD$3:DD$105=V91)*(DE$3:DE$105="D"))+SUMPRODUCT((DA$3:DA$105=V93)*(DD$3:DD$105=V91)*(DE$3:DE$105="D"))+SUMPRODUCT((DA$3:DA$105=V94)*(DD$3:DD$105=V91)*(DE$3:DE$105="D"))+SUMPRODUCT((DA$3:DA$105=V90)*(DD$3:DD$105=V91)*(DE$3:DE$105="D"))</f>
        <v>0</v>
      </c>
      <c r="Y91" s="231">
        <f>SUMPRODUCT((DA$3:DA$105=V91)*(DD$3:DD$105=V92)*(DE$3:DE$105="L"))+SUMPRODUCT((DA$3:DA$105=V91)*(DD$3:DD$105=V93)*(DE$3:DE$105="L"))+SUMPRODUCT((DA$3:DA$105=V91)*(DD$3:DD$105=V94)*(DE$3:DE$105="L"))+SUMPRODUCT((DA$3:DA$105=V91)*(DD$3:DD$105=V90)*(DE$3:DE$105="L"))+SUMPRODUCT((DA$3:DA$105=V92)*(DD$3:DD$105=V91)*(DF$3:DF$105="L"))+SUMPRODUCT((DA$3:DA$105=V93)*(DD$3:DD$105=V91)*(DF$3:DF$105="L"))+SUMPRODUCT((DA$3:DA$105=V94)*(DD$3:DD$105=V91)*(DF$3:DF$105="L"))+SUMPRODUCT((DA$3:DA$105=V90)*(DD$3:DD$105=V91)*(DF$3:DF$105="L"))</f>
        <v>0</v>
      </c>
      <c r="Z91" s="231">
        <f>SUMPRODUCT((DA$3:DA$105=V91)*(DD$3:DD$105=V92)*DB$3:DB$105)+SUMPRODUCT((DA$3:DA$105=V91)*(DD$3:DD$105=V93)*DB$3:DB$105)+SUMPRODUCT((DA$3:DA$105=V91)*(DD$3:DD$105=V94)*DB$3:DB$105)+SUMPRODUCT((DA$3:DA$105=V91)*(DD$3:DD$105=V90)*DB$3:DB$105)+SUMPRODUCT((DA$3:DA$105=V92)*(DD$3:DD$105=V91)*DC$3:DC$105)+SUMPRODUCT((DA$3:DA$105=V93)*(DD$3:DD$105=V91)*DC$3:DC$105)+SUMPRODUCT((DA$3:DA$105=V94)*(DD$3:DD$105=V91)*DC$3:DC$105)+SUMPRODUCT((DA$3:DA$105=V90)*(DD$3:DD$105=V91)*DC$3:DC$105)</f>
        <v>0</v>
      </c>
      <c r="AA91" s="231">
        <f>SUMPRODUCT((DA$3:DA$105=V91)*(DD$3:DD$105=V92)*DC$3:DC$105)+SUMPRODUCT((DA$3:DA$105=V91)*(DD$3:DD$105=V93)*DC$3:DC$105)+SUMPRODUCT((DA$3:DA$105=V91)*(DD$3:DD$105=V94)*DC$3:DC$105)+SUMPRODUCT((DA$3:DA$105=V91)*(DD$3:DD$105=V90)*DC$3:DC$105)+SUMPRODUCT((DA$3:DA$105=V92)*(DD$3:DD$105=V91)*DB$3:DB$105)+SUMPRODUCT((DA$3:DA$105=V93)*(DD$3:DD$105=V91)*DB$3:DB$105)+SUMPRODUCT((DA$3:DA$105=V94)*(DD$3:DD$105=V91)*DB$3:DB$105)+SUMPRODUCT((DA$3:DA$105=V90)*(DD$3:DD$105=V91)*DB$3:DB$105)</f>
        <v>0</v>
      </c>
      <c r="AB91" s="231">
        <f>Z91-AA91+1000</f>
        <v>1000</v>
      </c>
      <c r="AC91" s="231">
        <f t="shared" si="172"/>
        <v>0</v>
      </c>
      <c r="AD91" s="231">
        <f>IF(V91&lt;&gt;"",VLOOKUP(V91,C$4:I$52,7,FALSE),"")</f>
        <v>1000</v>
      </c>
      <c r="AE91" s="231">
        <f>IF(V91&lt;&gt;"",VLOOKUP(V91,C$4:I$52,5,FALSE),"")</f>
        <v>0</v>
      </c>
      <c r="AF91" s="231">
        <f>IF(V91&lt;&gt;"",VLOOKUP(V91,C$4:K$52,9,FALSE),"")</f>
        <v>-156</v>
      </c>
      <c r="AG91" s="231">
        <f t="shared" ref="AG91:AG93" si="173">AC91</f>
        <v>0</v>
      </c>
      <c r="AH91" s="231">
        <f>IF(V91&lt;&gt;"",RANK(AG91,AG90:AG93),"")</f>
        <v>1</v>
      </c>
      <c r="AI91" s="231">
        <f>IF(V91&lt;&gt;"",SUMPRODUCT((AG90:AG93=AG91)*(AB90:AB93&gt;AB91)),"")</f>
        <v>0</v>
      </c>
      <c r="AJ91" s="231">
        <f>IF(V91&lt;&gt;"",SUMPRODUCT((AG90:AG93=AG91)*(AB90:AB93=AB91)*(Z90:Z93&gt;Z91)),"")</f>
        <v>0</v>
      </c>
      <c r="AK91" s="231">
        <f>IF(V91&lt;&gt;"",SUMPRODUCT((AG90:AG93=AG91)*(AB90:AB93=AB91)*(Z90:Z93=Z91)*(AD90:AD93&gt;AD91)),"")</f>
        <v>0</v>
      </c>
      <c r="AL91" s="231">
        <f>IF(V91&lt;&gt;"",SUMPRODUCT((AG90:AG93=AG91)*(AB90:AB93=AB91)*(Z90:Z93=Z91)*(AD90:AD93=AD91)*(AE90:AE93&gt;AE91)),"")</f>
        <v>0</v>
      </c>
      <c r="AM91" s="231">
        <f>IF(V91&lt;&gt;"",SUMPRODUCT((AG90:AG93=AG91)*(AB90:AB93=AB91)*(Z90:Z93=Z91)*(AD90:AD93=AD91)*(AE90:AE93=AE91)*(AF90:AF93&gt;AF91)),"")</f>
        <v>2</v>
      </c>
      <c r="AN91" s="231">
        <f t="shared" ref="AN91:AN93" si="174">IF(V91&lt;&gt;"",SUM(AH91:AM91),"")</f>
        <v>3</v>
      </c>
      <c r="AO91" s="231" t="str">
        <f>IF(AP12&lt;&gt;"",SUMPRODUCT((AW11:AW14=AW12)*(AV11:AV14=AV12)*(AT11:AT14=AT12)*(AU11:AU14=AU12)),"")</f>
        <v/>
      </c>
      <c r="AP91" s="231" t="str">
        <f>IF(AND(AO91&lt;&gt;"",AO91&gt;1),AP12,"")</f>
        <v/>
      </c>
      <c r="AQ91" s="231">
        <f>SUMPRODUCT((DA$3:DA$105=AP91)*(DD$3:DD$105=AP92)*(DE$3:DE$105="W"))+SUMPRODUCT((DA$3:DA$105=AP91)*(DD$3:DD$105=AP93)*(DE$3:DE$105="W"))+SUMPRODUCT((DA$3:DA$105=AP91)*(DD$3:DD$105=AP94)*(DE$3:DE$105="W"))+SUMPRODUCT((DA$3:DA$105=AP92)*(DD$3:DD$105=AP91)*(DF$3:DF$105="W"))+SUMPRODUCT((DA$3:DA$105=AP93)*(DD$3:DD$105=AP91)*(DF$3:DF$105="W"))+SUMPRODUCT((DA$3:DA$105=AP94)*(DD$3:DD$105=AP91)*(DF$3:DF$105="W"))</f>
        <v>0</v>
      </c>
      <c r="AR91" s="231">
        <f>SUMPRODUCT((DA$3:DA$105=AP91)*(DD$3:DD$105=AP92)*(DE$3:DE$105="D"))+SUMPRODUCT((DA$3:DA$105=AP91)*(DD$3:DD$105=AP93)*(DE$3:DE$105="D"))+SUMPRODUCT((DA$3:DA$105=AP91)*(DD$3:DD$105=AP94)*(DE$3:DE$105="D"))+SUMPRODUCT((DA$3:DA$105=AP92)*(DD$3:DD$105=AP91)*(DE$3:DE$105="D"))+SUMPRODUCT((DA$3:DA$105=AP93)*(DD$3:DD$105=AP91)*(DE$3:DE$105="D"))+SUMPRODUCT((DA$3:DA$105=AP94)*(DD$3:DD$105=AP91)*(DE$3:DE$105="D"))</f>
        <v>0</v>
      </c>
      <c r="AS91" s="231">
        <f>SUMPRODUCT((DA$3:DA$105=AP91)*(DD$3:DD$105=AP92)*(DE$3:DE$105="L"))+SUMPRODUCT((DA$3:DA$105=AP91)*(DD$3:DD$105=AP93)*(DE$3:DE$105="L"))+SUMPRODUCT((DA$3:DA$105=AP91)*(DD$3:DD$105=AP94)*(DE$3:DE$105="L"))+SUMPRODUCT((DA$3:DA$105=AP92)*(DD$3:DD$105=AP91)*(DF$3:DF$105="L"))+SUMPRODUCT((DA$3:DA$105=AP93)*(DD$3:DD$105=AP91)*(DF$3:DF$105="L"))+SUMPRODUCT((DA$3:DA$105=AP94)*(DD$3:DD$105=AP91)*(DF$3:DF$105="L"))</f>
        <v>0</v>
      </c>
      <c r="AT91" s="231">
        <f>SUMPRODUCT((DA$3:DA$105=AP91)*(DD$3:DD$105=AP92)*DB$3:DB$105)+SUMPRODUCT((DA$3:DA$105=AP91)*(DD$3:DD$105=AP93)*DB$3:DB$105)+SUMPRODUCT((DA$3:DA$105=AP91)*(DD$3:DD$105=AP94)*DB$3:DB$105)+SUMPRODUCT((DA$3:DA$105=AP91)*(DD$3:DD$105=AP90)*DB$3:DB$105)+SUMPRODUCT((DA$3:DA$105=AP92)*(DD$3:DD$105=AP91)*DC$3:DC$105)+SUMPRODUCT((DA$3:DA$105=AP93)*(DD$3:DD$105=AP91)*DC$3:DC$105)+SUMPRODUCT((DA$3:DA$105=AP94)*(DD$3:DD$105=AP91)*DC$3:DC$105)+SUMPRODUCT((DA$3:DA$105=AP90)*(DD$3:DD$105=AP91)*DC$3:DC$105)</f>
        <v>0</v>
      </c>
      <c r="AU91" s="231">
        <f>SUMPRODUCT((DA$3:DA$105=AP91)*(DD$3:DD$105=AP92)*DC$3:DC$105)+SUMPRODUCT((DA$3:DA$105=AP91)*(DD$3:DD$105=AP93)*DC$3:DC$105)+SUMPRODUCT((DA$3:DA$105=AP91)*(DD$3:DD$105=AP94)*DC$3:DC$105)+SUMPRODUCT((DA$3:DA$105=AP91)*(DD$3:DD$105=AP90)*DC$3:DC$105)+SUMPRODUCT((DA$3:DA$105=AP92)*(DD$3:DD$105=AP91)*DB$3:DB$105)+SUMPRODUCT((DA$3:DA$105=AP93)*(DD$3:DD$105=AP91)*DB$3:DB$105)+SUMPRODUCT((DA$3:DA$105=AP94)*(DD$3:DD$105=AP91)*DB$3:DB$105)+SUMPRODUCT((DA$3:DA$105=AP90)*(DD$3:DD$105=AP91)*DB$3:DB$105)</f>
        <v>0</v>
      </c>
      <c r="AV91" s="231">
        <f>AT91-AU91+1000</f>
        <v>1000</v>
      </c>
      <c r="AW91" s="231" t="str">
        <f t="shared" ref="AW91:AW93" si="175">IF(AP91&lt;&gt;"",AQ91*3+AR91*1,"")</f>
        <v/>
      </c>
      <c r="AX91" s="231" t="str">
        <f>IF(AP91&lt;&gt;"",VLOOKUP(AP91,C$4:I$52,7,FALSE),"")</f>
        <v/>
      </c>
      <c r="AY91" s="231" t="str">
        <f>IF(AP91&lt;&gt;"",VLOOKUP(AP91,C$4:I$52,5,FALSE),"")</f>
        <v/>
      </c>
      <c r="AZ91" s="231" t="str">
        <f>IF(AP91&lt;&gt;"",VLOOKUP(AP91,C$4:K$52,9,FALSE),"")</f>
        <v/>
      </c>
      <c r="BA91" s="231" t="str">
        <f t="shared" ref="BA91:BA93" si="176">AW91</f>
        <v/>
      </c>
      <c r="BB91" s="231" t="str">
        <f>IF(AP91&lt;&gt;"",RANK(BA91,BA90:BA93),"")</f>
        <v/>
      </c>
      <c r="BC91" s="231" t="str">
        <f>IF(AP91&lt;&gt;"",SUMPRODUCT((BA90:BA93=BA91)*(AV90:AV93&gt;AV91)),"")</f>
        <v/>
      </c>
      <c r="BD91" s="231" t="str">
        <f>IF(AP91&lt;&gt;"",SUMPRODUCT((BA90:BA93=BA91)*(AV90:AV93=AV91)*(AT90:AT93&gt;AT91)),"")</f>
        <v/>
      </c>
      <c r="BE91" s="231" t="str">
        <f>IF(AP91&lt;&gt;"",SUMPRODUCT((BA90:BA93=BA91)*(AV90:AV93=AV91)*(AT90:AT93=AT91)*(AX90:AX93&gt;AX91)),"")</f>
        <v/>
      </c>
      <c r="BF91" s="231" t="str">
        <f>IF(AP91&lt;&gt;"",SUMPRODUCT((BA90:BA93=BA91)*(AV90:AV93=AV91)*(AT90:AT93=AT91)*(AX90:AX93=AX91)*(AY90:AY93&gt;AY91)),"")</f>
        <v/>
      </c>
      <c r="BG91" s="231" t="str">
        <f>IF(AP91&lt;&gt;"",SUMPRODUCT((BA90:BA93=BA91)*(AV90:AV93=AV91)*(AT90:AT93=AT91)*(AX90:AX93=AX91)*(AY90:AY93=AY91)*(AZ90:AZ93&gt;AZ91)),"")</f>
        <v/>
      </c>
      <c r="BH91" s="231" t="str">
        <f>IF(AP91&lt;&gt;"",SUM(BB91:BG91)+1,"")</f>
        <v/>
      </c>
      <c r="DS91" s="233" t="str">
        <f>Matches!M80</f>
        <v>Group F Runner Up</v>
      </c>
      <c r="DU91" s="233" t="str">
        <f>IF(ISERROR("Calculator!"&amp;VLOOKUP(DS91,Calculator!$DS$7:$DT$54,2,FALSE)),"Calculator!dr77","Calculator!"&amp;VLOOKUP(DS91,Calculator!$DS$7:$DT$54,2,FALSE))</f>
        <v>Calculator!dr77</v>
      </c>
      <c r="DX91" s="230"/>
      <c r="DY91" s="243">
        <v>84</v>
      </c>
      <c r="DZ91" s="244">
        <f t="shared" si="158"/>
        <v>46205.625</v>
      </c>
      <c r="EA91" s="247">
        <v>46205.625</v>
      </c>
      <c r="EB91" s="246">
        <f t="shared" si="75"/>
        <v>46205.625</v>
      </c>
      <c r="EC91" s="230"/>
    </row>
    <row r="92" spans="9:133" x14ac:dyDescent="0.25">
      <c r="J92" s="231">
        <f>IF(COUNTIF(J$11:J$14,4)=4,1,SUMPRODUCT((J$11:J$14=J13)*(I$11:I$14=I13)*(G$11:G$14&gt;G13))+1)</f>
        <v>1</v>
      </c>
      <c r="U92" s="231">
        <f>IF(V13&lt;&gt;"",SUMPRODUCT((AC11:AC14=AC13)*(AB11:AB14=AB13)*(Z11:Z14=Z13)*(AA11:AA14=AA13)),"")</f>
        <v>4</v>
      </c>
      <c r="V92" s="231" t="str">
        <f>IF(AND(U92&lt;&gt;"",U92&gt;1),V13,"")</f>
        <v>Canada</v>
      </c>
      <c r="W92" s="231">
        <f>SUMPRODUCT((DA$3:DA$105=V92)*(DD$3:DD$105=V93)*(DE$3:DE$105="W"))+SUMPRODUCT((DA$3:DA$105=V92)*(DD$3:DD$105=V94)*(DE$3:DE$105="W"))+SUMPRODUCT((DA$3:DA$105=V92)*(DD$3:DD$105=V90)*(DE$3:DE$105="W"))+SUMPRODUCT((DA$3:DA$105=V92)*(DD$3:DD$105=V91)*(DE$3:DE$105="W"))+SUMPRODUCT((DA$3:DA$105=V93)*(DD$3:DD$105=V92)*(DF$3:DF$105="W"))+SUMPRODUCT((DA$3:DA$105=V94)*(DD$3:DD$105=V92)*(DF$3:DF$105="W"))+SUMPRODUCT((DA$3:DA$105=V90)*(DD$3:DD$105=V92)*(DF$3:DF$105="W"))+SUMPRODUCT((DA$3:DA$105=V91)*(DD$3:DD$105=V92)*(DF$3:DF$105="W"))</f>
        <v>0</v>
      </c>
      <c r="X92" s="231">
        <f>SUMPRODUCT((DA$3:DA$105=V92)*(DD$3:DD$105=V93)*(DE$3:DE$105="D"))+SUMPRODUCT((DA$3:DA$105=V92)*(DD$3:DD$105=V94)*(DE$3:DE$105="D"))+SUMPRODUCT((DA$3:DA$105=V92)*(DD$3:DD$105=V90)*(DE$3:DE$105="D"))+SUMPRODUCT((DA$3:DA$105=V92)*(DD$3:DD$105=V91)*(DE$3:DE$105="D"))+SUMPRODUCT((DA$3:DA$105=V93)*(DD$3:DD$105=V92)*(DE$3:DE$105="D"))+SUMPRODUCT((DA$3:DA$105=V94)*(DD$3:DD$105=V92)*(DE$3:DE$105="D"))+SUMPRODUCT((DA$3:DA$105=V90)*(DD$3:DD$105=V92)*(DE$3:DE$105="D"))+SUMPRODUCT((DA$3:DA$105=V91)*(DD$3:DD$105=V92)*(DE$3:DE$105="D"))</f>
        <v>0</v>
      </c>
      <c r="Y92" s="231">
        <f>SUMPRODUCT((DA$3:DA$105=V92)*(DD$3:DD$105=V93)*(DE$3:DE$105="L"))+SUMPRODUCT((DA$3:DA$105=V92)*(DD$3:DD$105=V94)*(DE$3:DE$105="L"))+SUMPRODUCT((DA$3:DA$105=V92)*(DD$3:DD$105=V90)*(DE$3:DE$105="L"))+SUMPRODUCT((DA$3:DA$105=V92)*(DD$3:DD$105=V91)*(DE$3:DE$105="L"))+SUMPRODUCT((DA$3:DA$105=V93)*(DD$3:DD$105=V92)*(DF$3:DF$105="L"))+SUMPRODUCT((DA$3:DA$105=V94)*(DD$3:DD$105=V92)*(DF$3:DF$105="L"))+SUMPRODUCT((DA$3:DA$105=V90)*(DD$3:DD$105=V92)*(DF$3:DF$105="L"))+SUMPRODUCT((DA$3:DA$105=V91)*(DD$3:DD$105=V92)*(DF$3:DF$105="L"))</f>
        <v>0</v>
      </c>
      <c r="Z92" s="231">
        <f>SUMPRODUCT((DA$3:DA$105=V92)*(DD$3:DD$105=V93)*DB$3:DB$105)+SUMPRODUCT((DA$3:DA$105=V92)*(DD$3:DD$105=V94)*DB$3:DB$105)+SUMPRODUCT((DA$3:DA$105=V92)*(DD$3:DD$105=V90)*DB$3:DB$105)+SUMPRODUCT((DA$3:DA$105=V92)*(DD$3:DD$105=V91)*DB$3:DB$105)+SUMPRODUCT((DA$3:DA$105=V93)*(DD$3:DD$105=V92)*DC$3:DC$105)+SUMPRODUCT((DA$3:DA$105=V94)*(DD$3:DD$105=V92)*DC$3:DC$105)+SUMPRODUCT((DA$3:DA$105=V90)*(DD$3:DD$105=V92)*DC$3:DC$105)+SUMPRODUCT((DA$3:DA$105=V91)*(DD$3:DD$105=V92)*DC$3:DC$105)</f>
        <v>0</v>
      </c>
      <c r="AA92" s="231">
        <f>SUMPRODUCT((DA$3:DA$105=V92)*(DD$3:DD$105=V93)*DC$3:DC$105)+SUMPRODUCT((DA$3:DA$105=V92)*(DD$3:DD$105=V94)*DC$3:DC$105)+SUMPRODUCT((DA$3:DA$105=V92)*(DD$3:DD$105=V90)*DC$3:DC$105)+SUMPRODUCT((DA$3:DA$105=V92)*(DD$3:DD$105=V91)*DC$3:DC$105)+SUMPRODUCT((DA$3:DA$105=V93)*(DD$3:DD$105=V92)*DB$3:DB$105)+SUMPRODUCT((DA$3:DA$105=V94)*(DD$3:DD$105=V92)*DB$3:DB$105)+SUMPRODUCT((DA$3:DA$105=V90)*(DD$3:DD$105=V92)*DB$3:DB$105)+SUMPRODUCT((DA$3:DA$105=V91)*(DD$3:DD$105=V92)*DB$3:DB$105)</f>
        <v>0</v>
      </c>
      <c r="AB92" s="231">
        <f>Z92-AA92+1000</f>
        <v>1000</v>
      </c>
      <c r="AC92" s="231">
        <f t="shared" si="172"/>
        <v>0</v>
      </c>
      <c r="AD92" s="231">
        <f>IF(V92&lt;&gt;"",VLOOKUP(V92,C$4:I$52,7,FALSE),"")</f>
        <v>1000</v>
      </c>
      <c r="AE92" s="231">
        <f>IF(V92&lt;&gt;"",VLOOKUP(V92,C$4:I$52,5,FALSE),"")</f>
        <v>0</v>
      </c>
      <c r="AF92" s="231">
        <f>IF(V92&lt;&gt;"",VLOOKUP(V92,C$4:K$52,9,FALSE),"")</f>
        <v>-129</v>
      </c>
      <c r="AG92" s="231">
        <f t="shared" si="173"/>
        <v>0</v>
      </c>
      <c r="AH92" s="231">
        <f>IF(V92&lt;&gt;"",RANK(AG92,AG90:AG93),"")</f>
        <v>1</v>
      </c>
      <c r="AI92" s="231">
        <f>IF(V92&lt;&gt;"",SUMPRODUCT((AG90:AG93=AG92)*(AB90:AB93&gt;AB92)),"")</f>
        <v>0</v>
      </c>
      <c r="AJ92" s="231">
        <f>IF(V92&lt;&gt;"",SUMPRODUCT((AG90:AG93=AG92)*(AB90:AB93=AB92)*(Z90:Z93&gt;Z92)),"")</f>
        <v>0</v>
      </c>
      <c r="AK92" s="231">
        <f>IF(V92&lt;&gt;"",SUMPRODUCT((AG90:AG93=AG92)*(AB90:AB93=AB92)*(Z90:Z93=Z92)*(AD90:AD93&gt;AD92)),"")</f>
        <v>0</v>
      </c>
      <c r="AL92" s="231">
        <f>IF(V92&lt;&gt;"",SUMPRODUCT((AG90:AG93=AG92)*(AB90:AB93=AB92)*(Z90:Z93=Z92)*(AD90:AD93=AD92)*(AE90:AE93&gt;AE92)),"")</f>
        <v>0</v>
      </c>
      <c r="AM92" s="231">
        <f>IF(V92&lt;&gt;"",SUMPRODUCT((AG90:AG93=AG92)*(AB90:AB93=AB92)*(Z90:Z93=Z92)*(AD90:AD93=AD92)*(AE90:AE93=AE92)*(AF90:AF93&gt;AF92)),"")</f>
        <v>1</v>
      </c>
      <c r="AN92" s="231">
        <f t="shared" si="174"/>
        <v>2</v>
      </c>
      <c r="AO92" s="231" t="str">
        <f>IF(AP13&lt;&gt;"",SUMPRODUCT((AW11:AW14=AW13)*(AV11:AV14=AV13)*(AT11:AT14=AT13)*(AU11:AU14=AU13)),"")</f>
        <v/>
      </c>
      <c r="AP92" s="231" t="str">
        <f>IF(AND(AO92&lt;&gt;"",AO92&gt;1),AP13,"")</f>
        <v/>
      </c>
      <c r="AQ92" s="231">
        <f>SUMPRODUCT((DA$3:DA$105=AP92)*(DD$3:DD$105=AP93)*(DE$3:DE$105="W"))+SUMPRODUCT((DA$3:DA$105=AP92)*(DD$3:DD$105=AP94)*(DE$3:DE$105="W"))+SUMPRODUCT((DA$3:DA$105=AP92)*(DD$3:DD$105=AP91)*(DE$3:DE$105="W"))+SUMPRODUCT((DA$3:DA$105=AP93)*(DD$3:DD$105=AP92)*(DF$3:DF$105="W"))+SUMPRODUCT((DA$3:DA$105=AP94)*(DD$3:DD$105=AP92)*(DF$3:DF$105="W"))+SUMPRODUCT((DA$3:DA$105=AP91)*(DD$3:DD$105=AP92)*(DF$3:DF$105="W"))</f>
        <v>0</v>
      </c>
      <c r="AR92" s="231">
        <f>SUMPRODUCT((DA$3:DA$105=AP92)*(DD$3:DD$105=AP93)*(DE$3:DE$105="D"))+SUMPRODUCT((DA$3:DA$105=AP92)*(DD$3:DD$105=AP94)*(DE$3:DE$105="D"))+SUMPRODUCT((DA$3:DA$105=AP92)*(DD$3:DD$105=AP91)*(DE$3:DE$105="D"))+SUMPRODUCT((DA$3:DA$105=AP93)*(DD$3:DD$105=AP92)*(DE$3:DE$105="D"))+SUMPRODUCT((DA$3:DA$105=AP94)*(DD$3:DD$105=AP92)*(DE$3:DE$105="D"))+SUMPRODUCT((DA$3:DA$105=AP91)*(DD$3:DD$105=AP92)*(DE$3:DE$105="D"))</f>
        <v>0</v>
      </c>
      <c r="AS92" s="231">
        <f>SUMPRODUCT((DA$3:DA$105=AP92)*(DD$3:DD$105=AP93)*(DE$3:DE$105="L"))+SUMPRODUCT((DA$3:DA$105=AP92)*(DD$3:DD$105=AP94)*(DE$3:DE$105="L"))+SUMPRODUCT((DA$3:DA$105=AP92)*(DD$3:DD$105=AP91)*(DE$3:DE$105="L"))+SUMPRODUCT((DA$3:DA$105=AP93)*(DD$3:DD$105=AP92)*(DF$3:DF$105="L"))+SUMPRODUCT((DA$3:DA$105=AP94)*(DD$3:DD$105=AP92)*(DF$3:DF$105="L"))+SUMPRODUCT((DA$3:DA$105=AP91)*(DD$3:DD$105=AP92)*(DF$3:DF$105="L"))</f>
        <v>0</v>
      </c>
      <c r="AT92" s="231">
        <f>SUMPRODUCT((DA$3:DA$105=AP92)*(DD$3:DD$105=AP93)*DB$3:DB$105)+SUMPRODUCT((DA$3:DA$105=AP92)*(DD$3:DD$105=AP94)*DB$3:DB$105)+SUMPRODUCT((DA$3:DA$105=AP92)*(DD$3:DD$105=AP90)*DB$3:DB$105)+SUMPRODUCT((DA$3:DA$105=AP92)*(DD$3:DD$105=AP91)*DB$3:DB$105)+SUMPRODUCT((DA$3:DA$105=AP93)*(DD$3:DD$105=AP92)*DC$3:DC$105)+SUMPRODUCT((DA$3:DA$105=AP94)*(DD$3:DD$105=AP92)*DC$3:DC$105)+SUMPRODUCT((DA$3:DA$105=AP90)*(DD$3:DD$105=AP92)*DC$3:DC$105)+SUMPRODUCT((DA$3:DA$105=AP91)*(DD$3:DD$105=AP92)*DC$3:DC$105)</f>
        <v>0</v>
      </c>
      <c r="AU92" s="231">
        <f>SUMPRODUCT((DA$3:DA$105=AP92)*(DD$3:DD$105=AP93)*DC$3:DC$105)+SUMPRODUCT((DA$3:DA$105=AP92)*(DD$3:DD$105=AP94)*DC$3:DC$105)+SUMPRODUCT((DA$3:DA$105=AP92)*(DD$3:DD$105=AP90)*DC$3:DC$105)+SUMPRODUCT((DA$3:DA$105=AP92)*(DD$3:DD$105=AP91)*DC$3:DC$105)+SUMPRODUCT((DA$3:DA$105=AP93)*(DD$3:DD$105=AP92)*DB$3:DB$105)+SUMPRODUCT((DA$3:DA$105=AP94)*(DD$3:DD$105=AP92)*DB$3:DB$105)+SUMPRODUCT((DA$3:DA$105=AP90)*(DD$3:DD$105=AP92)*DB$3:DB$105)+SUMPRODUCT((DA$3:DA$105=AP91)*(DD$3:DD$105=AP92)*DB$3:DB$105)</f>
        <v>0</v>
      </c>
      <c r="AV92" s="231">
        <f>AT92-AU92+1000</f>
        <v>1000</v>
      </c>
      <c r="AW92" s="231" t="str">
        <f t="shared" si="175"/>
        <v/>
      </c>
      <c r="AX92" s="231" t="str">
        <f>IF(AP92&lt;&gt;"",VLOOKUP(AP92,C$4:I$52,7,FALSE),"")</f>
        <v/>
      </c>
      <c r="AY92" s="231" t="str">
        <f>IF(AP92&lt;&gt;"",VLOOKUP(AP92,C$4:I$52,5,FALSE),"")</f>
        <v/>
      </c>
      <c r="AZ92" s="231" t="str">
        <f>IF(AP92&lt;&gt;"",VLOOKUP(AP92,C$4:K$52,9,FALSE),"")</f>
        <v/>
      </c>
      <c r="BA92" s="231" t="str">
        <f t="shared" si="176"/>
        <v/>
      </c>
      <c r="BB92" s="231" t="str">
        <f>IF(AP92&lt;&gt;"",RANK(BA92,BA90:BA93),"")</f>
        <v/>
      </c>
      <c r="BC92" s="231" t="str">
        <f>IF(AP92&lt;&gt;"",SUMPRODUCT((BA90:BA93=BA92)*(AV90:AV93&gt;AV92)),"")</f>
        <v/>
      </c>
      <c r="BD92" s="231" t="str">
        <f>IF(AP92&lt;&gt;"",SUMPRODUCT((BA90:BA93=BA92)*(AV90:AV93=AV92)*(AT90:AT93&gt;AT92)),"")</f>
        <v/>
      </c>
      <c r="BE92" s="231" t="str">
        <f>IF(AP92&lt;&gt;"",SUMPRODUCT((BA90:BA93=BA92)*(AV90:AV93=AV92)*(AT90:AT93=AT92)*(AX90:AX93&gt;AX92)),"")</f>
        <v/>
      </c>
      <c r="BF92" s="231" t="str">
        <f>IF(AP92&lt;&gt;"",SUMPRODUCT((BA90:BA93=BA92)*(AV90:AV93=AV92)*(AT90:AT93=AT92)*(AX90:AX93=AX92)*(AY90:AY93&gt;AY92)),"")</f>
        <v/>
      </c>
      <c r="BG92" s="231" t="str">
        <f>IF(AP92&lt;&gt;"",SUMPRODUCT((BA90:BA93=BA92)*(AV90:AV93=AV92)*(AT90:AT93=AT92)*(AX90:AX93=AX92)*(AY90:AY93=AY92)*(AZ90:AZ93&gt;AZ92)),"")</f>
        <v/>
      </c>
      <c r="BH92" s="231" t="str">
        <f t="shared" ref="BH92:BH93" si="177">IF(AP92&lt;&gt;"",SUM(BB92:BG92)+1,"")</f>
        <v/>
      </c>
      <c r="DS92" s="233" t="str">
        <f>Matches!M81</f>
        <v>3rd Group C/D/F/G/H</v>
      </c>
      <c r="DU92" s="233" t="str">
        <f>IF(ISERROR("Calculator!"&amp;VLOOKUP(DS92,Calculator!$DS$7:$DT$54,2,FALSE)),"Calculator!dr77","Calculator!"&amp;VLOOKUP(DS92,Calculator!$DS$7:$DT$54,2,FALSE))</f>
        <v>Calculator!dr77</v>
      </c>
      <c r="DX92" s="230"/>
      <c r="DY92" s="243">
        <v>85</v>
      </c>
      <c r="DZ92" s="244">
        <f t="shared" si="158"/>
        <v>46205.958333333336</v>
      </c>
      <c r="EA92" s="247">
        <v>46205.958333333336</v>
      </c>
      <c r="EB92" s="246">
        <f t="shared" si="75"/>
        <v>46205.958333333336</v>
      </c>
      <c r="EC92" s="230"/>
    </row>
    <row r="93" spans="9:133" x14ac:dyDescent="0.25">
      <c r="J93" s="231">
        <f>IF(COUNTIF(J$11:J$14,4)=4,1,SUMPRODUCT((J$11:J$14=J14)*(I$11:I$14=I14)*(G$11:G$14&gt;G14))+1)</f>
        <v>1</v>
      </c>
      <c r="U93" s="231">
        <f>IF(V14&lt;&gt;"",SUMPRODUCT((AC11:AC14=AC14)*(AB11:AB14=AB14)*(Z11:Z14=Z14)*(AA11:AA14=AA14)),"")</f>
        <v>4</v>
      </c>
      <c r="V93" s="231" t="str">
        <f>IF(AND(U93&lt;&gt;"",U93&gt;1),V14,"")</f>
        <v>Switzerland</v>
      </c>
      <c r="W93" s="231">
        <f>SUMPRODUCT((DA$3:DA$105=V93)*(DD$3:DD$105=V94)*(DE$3:DE$105="W"))+SUMPRODUCT((DA$3:DA$105=V93)*(DD$3:DD$105=V90)*(DE$3:DE$105="W"))+SUMPRODUCT((DA$3:DA$105=V93)*(DD$3:DD$105=V91)*(DE$3:DE$105="W"))+SUMPRODUCT((DA$3:DA$105=V93)*(DD$3:DD$105=V92)*(DE$3:DE$105="W"))+SUMPRODUCT((DA$3:DA$105=V94)*(DD$3:DD$105=V93)*(DF$3:DF$105="W"))+SUMPRODUCT((DA$3:DA$105=V90)*(DD$3:DD$105=V93)*(DF$3:DF$105="W"))+SUMPRODUCT((DA$3:DA$105=V91)*(DD$3:DD$105=V93)*(DF$3:DF$105="W"))+SUMPRODUCT((DA$3:DA$105=V92)*(DD$3:DD$105=V93)*(DF$3:DF$105="W"))</f>
        <v>0</v>
      </c>
      <c r="X93" s="231">
        <f>SUMPRODUCT((DA$3:DA$105=V93)*(DD$3:DD$105=V94)*(DE$3:DE$105="D"))+SUMPRODUCT((DA$3:DA$105=V93)*(DD$3:DD$105=V90)*(DE$3:DE$105="D"))+SUMPRODUCT((DA$3:DA$105=V93)*(DD$3:DD$105=V91)*(DE$3:DE$105="D"))+SUMPRODUCT((DA$3:DA$105=V93)*(DD$3:DD$105=V92)*(DE$3:DE$105="D"))+SUMPRODUCT((DA$3:DA$105=V94)*(DD$3:DD$105=V93)*(DE$3:DE$105="D"))+SUMPRODUCT((DA$3:DA$105=V90)*(DD$3:DD$105=V93)*(DE$3:DE$105="D"))+SUMPRODUCT((DA$3:DA$105=V91)*(DD$3:DD$105=V93)*(DE$3:DE$105="D"))+SUMPRODUCT((DA$3:DA$105=V92)*(DD$3:DD$105=V93)*(DE$3:DE$105="D"))</f>
        <v>0</v>
      </c>
      <c r="Y93" s="231">
        <f>SUMPRODUCT((DA$3:DA$105=V93)*(DD$3:DD$105=V94)*(DE$3:DE$105="L"))+SUMPRODUCT((DA$3:DA$105=V93)*(DD$3:DD$105=V90)*(DE$3:DE$105="L"))+SUMPRODUCT((DA$3:DA$105=V93)*(DD$3:DD$105=V91)*(DE$3:DE$105="L"))+SUMPRODUCT((DA$3:DA$105=V93)*(DD$3:DD$105=V92)*(DE$3:DE$105="L"))+SUMPRODUCT((DA$3:DA$105=V94)*(DD$3:DD$105=V93)*(DF$3:DF$105="L"))+SUMPRODUCT((DA$3:DA$105=V90)*(DD$3:DD$105=V93)*(DF$3:DF$105="L"))+SUMPRODUCT((DA$3:DA$105=V91)*(DD$3:DD$105=V93)*(DF$3:DF$105="L"))+SUMPRODUCT((DA$3:DA$105=V92)*(DD$3:DD$105=V93)*(DF$3:DF$105="L"))</f>
        <v>0</v>
      </c>
      <c r="Z93" s="231">
        <f>SUMPRODUCT((DA$3:DA$105=V93)*(DD$3:DD$105=V94)*DB$3:DB$105)+SUMPRODUCT((DA$3:DA$105=V93)*(DD$3:DD$105=V90)*DB$3:DB$105)+SUMPRODUCT((DA$3:DA$105=V93)*(DD$3:DD$105=V91)*DB$3:DB$105)+SUMPRODUCT((DA$3:DA$105=V93)*(DD$3:DD$105=V92)*DB$3:DB$105)+SUMPRODUCT((DA$3:DA$105=V94)*(DD$3:DD$105=V93)*DC$3:DC$105)+SUMPRODUCT((DA$3:DA$105=V90)*(DD$3:DD$105=V93)*DC$3:DC$105)+SUMPRODUCT((DA$3:DA$105=V91)*(DD$3:DD$105=V93)*DC$3:DC$105)+SUMPRODUCT((DA$3:DA$105=V92)*(DD$3:DD$105=V93)*DC$3:DC$105)</f>
        <v>0</v>
      </c>
      <c r="AA93" s="231">
        <f>SUMPRODUCT((DA$3:DA$105=V93)*(DD$3:DD$105=V94)*DC$3:DC$105)+SUMPRODUCT((DA$3:DA$105=V93)*(DD$3:DD$105=V90)*DC$3:DC$105)+SUMPRODUCT((DA$3:DA$105=V93)*(DD$3:DD$105=V91)*DC$3:DC$105)+SUMPRODUCT((DA$3:DA$105=V93)*(DD$3:DD$105=V92)*DC$3:DC$105)+SUMPRODUCT((DA$3:DA$105=V94)*(DD$3:DD$105=V93)*DB$3:DB$105)+SUMPRODUCT((DA$3:DA$105=V90)*(DD$3:DD$105=V93)*DB$3:DB$105)+SUMPRODUCT((DA$3:DA$105=V91)*(DD$3:DD$105=V93)*DB$3:DB$105)+SUMPRODUCT((DA$3:DA$105=V92)*(DD$3:DD$105=V93)*DB$3:DB$105)</f>
        <v>0</v>
      </c>
      <c r="AB93" s="231">
        <f>Z93-AA93+1000</f>
        <v>1000</v>
      </c>
      <c r="AC93" s="231">
        <f t="shared" si="172"/>
        <v>0</v>
      </c>
      <c r="AD93" s="231">
        <f>IF(V93&lt;&gt;"",VLOOKUP(V93,C$4:I$52,7,FALSE),"")</f>
        <v>1000</v>
      </c>
      <c r="AE93" s="231">
        <f>IF(V93&lt;&gt;"",VLOOKUP(V93,C$4:I$52,5,FALSE),"")</f>
        <v>0</v>
      </c>
      <c r="AF93" s="231">
        <f>IF(V93&lt;&gt;"",VLOOKUP(V93,C$4:K$52,9,FALSE),"")</f>
        <v>-118</v>
      </c>
      <c r="AG93" s="231">
        <f t="shared" si="173"/>
        <v>0</v>
      </c>
      <c r="AH93" s="231">
        <f>IF(V93&lt;&gt;"",RANK(AG93,AG90:AG93),"")</f>
        <v>1</v>
      </c>
      <c r="AI93" s="231">
        <f>IF(V93&lt;&gt;"",SUMPRODUCT((AG90:AG93=AG93)*(AB90:AB93&gt;AB93)),"")</f>
        <v>0</v>
      </c>
      <c r="AJ93" s="231">
        <f>IF(V93&lt;&gt;"",SUMPRODUCT((AG90:AG93=AG93)*(AB90:AB93=AB93)*(Z90:Z93&gt;Z93)),"")</f>
        <v>0</v>
      </c>
      <c r="AK93" s="231">
        <f>IF(V93&lt;&gt;"",SUMPRODUCT((AG90:AG93=AG93)*(AB90:AB93=AB93)*(Z90:Z93=Z93)*(AD90:AD93&gt;AD93)),"")</f>
        <v>0</v>
      </c>
      <c r="AL93" s="231">
        <f>IF(V93&lt;&gt;"",SUMPRODUCT((AG90:AG93=AG93)*(AB90:AB93=AB93)*(Z90:Z93=Z93)*(AD90:AD93=AD93)*(AE90:AE93&gt;AE93)),"")</f>
        <v>0</v>
      </c>
      <c r="AM93" s="231">
        <f>IF(V93&lt;&gt;"",SUMPRODUCT((AG90:AG93=AG93)*(AB90:AB93=AB93)*(Z90:Z93=Z93)*(AD90:AD93=AD93)*(AE90:AE93=AE93)*(AF90:AF93&gt;AF93)),"")</f>
        <v>0</v>
      </c>
      <c r="AN93" s="231">
        <f t="shared" si="174"/>
        <v>1</v>
      </c>
      <c r="AO93" s="231" t="str">
        <f>IF(AP14&lt;&gt;"",SUMPRODUCT((AW11:AW14=AW14)*(AV11:AV14=AV14)*(AT11:AT14=AT14)*(AU11:AU14=AU14)),"")</f>
        <v/>
      </c>
      <c r="AP93" s="231" t="str">
        <f>IF(AND(AO93&lt;&gt;"",AO93&gt;1),AP14,"")</f>
        <v/>
      </c>
      <c r="AQ93" s="231" t="str">
        <f>IF(AP93&lt;&gt;"",SUMPRODUCT((DA$3:DA$105=AP93)*(DD$3:DD$105=AP94)*(DE$3:DE$105="W"))+SUMPRODUCT((DA$3:DA$105=AP93)*(DD$3:DD$105=AP91)*(DE$3:DE$105="W"))+SUMPRODUCT((DA$3:DA$105=AP93)*(DD$3:DD$105=AP92)*(DE$3:DE$105="W"))+SUMPRODUCT((DA$3:DA$105=AP94)*(DD$3:DD$105=AP93)*(DF$3:DF$105="W"))+SUMPRODUCT((DA$3:DA$105=AP91)*(DD$3:DD$105=AP93)*(DF$3:DF$105="W"))+SUMPRODUCT((DA$3:DA$105=AP92)*(DD$3:DD$105=AP93)*(DF$3:DF$105="W")),"")</f>
        <v/>
      </c>
      <c r="AR93" s="231" t="str">
        <f>IF(AP93&lt;&gt;"",SUMPRODUCT((DA$3:DA$105=AP93)*(DD$3:DD$105=AP94)*(DE$3:DE$105="D"))+SUMPRODUCT((DA$3:DA$105=AP93)*(DD$3:DD$105=AP91)*(DE$3:DE$105="D"))+SUMPRODUCT((DA$3:DA$105=AP93)*(DD$3:DD$105=AP92)*(DE$3:DE$105="D"))+SUMPRODUCT((DA$3:DA$105=AP94)*(DD$3:DD$105=AP93)*(DE$3:DE$105="D"))+SUMPRODUCT((DA$3:DA$105=AP91)*(DD$3:DD$105=AP93)*(DE$3:DE$105="D"))+SUMPRODUCT((DA$3:DA$105=AP92)*(DD$3:DD$105=AP93)*(DE$3:DE$105="D")),"")</f>
        <v/>
      </c>
      <c r="AS93" s="231" t="str">
        <f>IF(AP93&lt;&gt;"",SUMPRODUCT((DA$3:DA$105=AP93)*(DD$3:DD$105=AP94)*(DE$3:DE$105="L"))+SUMPRODUCT((DA$3:DA$105=AP93)*(DD$3:DD$105=AP91)*(DE$3:DE$105="L"))+SUMPRODUCT((DA$3:DA$105=AP93)*(DD$3:DD$105=AP92)*(DE$3:DE$105="L"))+SUMPRODUCT((DA$3:DA$105=AP94)*(DD$3:DD$105=AP93)*(DF$3:DF$105="L"))+SUMPRODUCT((DA$3:DA$105=AP91)*(DD$3:DD$105=AP93)*(DF$3:DF$105="L"))+SUMPRODUCT((DA$3:DA$105=AP92)*(DD$3:DD$105=AP93)*(DF$3:DF$105="L")),"")</f>
        <v/>
      </c>
      <c r="AT93" s="231">
        <f>SUMPRODUCT((DA$3:DA$105=AP93)*(DD$3:DD$105=AP94)*DB$3:DB$105)+SUMPRODUCT((DA$3:DA$105=AP93)*(DD$3:DD$105=AP90)*DB$3:DB$105)+SUMPRODUCT((DA$3:DA$105=AP93)*(DD$3:DD$105=AP91)*DB$3:DB$105)+SUMPRODUCT((DA$3:DA$105=AP93)*(DD$3:DD$105=AP92)*DB$3:DB$105)+SUMPRODUCT((DA$3:DA$105=AP94)*(DD$3:DD$105=AP93)*DC$3:DC$105)+SUMPRODUCT((DA$3:DA$105=AP90)*(DD$3:DD$105=AP93)*DC$3:DC$105)+SUMPRODUCT((DA$3:DA$105=AP91)*(DD$3:DD$105=AP93)*DC$3:DC$105)+SUMPRODUCT((DA$3:DA$105=AP92)*(DD$3:DD$105=AP93)*DC$3:DC$105)</f>
        <v>0</v>
      </c>
      <c r="AU93" s="231">
        <f>SUMPRODUCT((DA$3:DA$105=AP93)*(DD$3:DD$105=AP94)*DC$3:DC$105)+SUMPRODUCT((DA$3:DA$105=AP93)*(DD$3:DD$105=AP90)*DC$3:DC$105)+SUMPRODUCT((DA$3:DA$105=AP93)*(DD$3:DD$105=AP91)*DC$3:DC$105)+SUMPRODUCT((DA$3:DA$105=AP93)*(DD$3:DD$105=AP92)*DC$3:DC$105)+SUMPRODUCT((DA$3:DA$105=AP94)*(DD$3:DD$105=AP93)*DB$3:DB$105)+SUMPRODUCT((DA$3:DA$105=AP90)*(DD$3:DD$105=AP93)*DB$3:DB$105)+SUMPRODUCT((DA$3:DA$105=AP91)*(DD$3:DD$105=AP93)*DB$3:DB$105)+SUMPRODUCT((DA$3:DA$105=AP92)*(DD$3:DD$105=AP93)*DB$3:DB$105)</f>
        <v>0</v>
      </c>
      <c r="AV93" s="231">
        <f>AT93-AU93+1000</f>
        <v>1000</v>
      </c>
      <c r="AW93" s="231" t="str">
        <f t="shared" si="175"/>
        <v/>
      </c>
      <c r="AX93" s="231" t="str">
        <f>IF(AP93&lt;&gt;"",VLOOKUP(AP93,C$4:I$52,7,FALSE),"")</f>
        <v/>
      </c>
      <c r="AY93" s="231" t="str">
        <f>IF(AP93&lt;&gt;"",VLOOKUP(AP93,C$4:I$52,5,FALSE),"")</f>
        <v/>
      </c>
      <c r="AZ93" s="231" t="str">
        <f>IF(AP93&lt;&gt;"",VLOOKUP(AP93,C$4:K$52,9,FALSE),"")</f>
        <v/>
      </c>
      <c r="BA93" s="231" t="str">
        <f t="shared" si="176"/>
        <v/>
      </c>
      <c r="BB93" s="231" t="str">
        <f>IF(AP93&lt;&gt;"",RANK(BA93,BA90:BA93),"")</f>
        <v/>
      </c>
      <c r="BC93" s="231" t="str">
        <f>IF(AP93&lt;&gt;"",SUMPRODUCT((BA90:BA93=BA93)*(AV90:AV93&gt;AV93)),"")</f>
        <v/>
      </c>
      <c r="BD93" s="231" t="str">
        <f>IF(AP93&lt;&gt;"",SUMPRODUCT((BA90:BA93=BA93)*(AV90:AV93=AV93)*(AT90:AT93&gt;AT93)),"")</f>
        <v/>
      </c>
      <c r="BE93" s="231" t="str">
        <f>IF(AP93&lt;&gt;"",SUMPRODUCT((BA90:BA93=BA93)*(AV90:AV93=AV93)*(AT90:AT93=AT93)*(AX90:AX93&gt;AX93)),"")</f>
        <v/>
      </c>
      <c r="BF93" s="231" t="str">
        <f>IF(AP93&lt;&gt;"",SUMPRODUCT((BA90:BA93=BA93)*(AV90:AV93=AV93)*(AT90:AT93=AT93)*(AX90:AX93=AX93)*(AY90:AY93&gt;AY93)),"")</f>
        <v/>
      </c>
      <c r="BG93" s="231" t="str">
        <f>IF(AP93&lt;&gt;"",SUMPRODUCT((BA90:BA93=BA93)*(AV90:AV93=AV93)*(AT90:AT93=AT93)*(AX90:AX93=AX93)*(AY90:AY93=AY93)*(AZ90:AZ93&gt;AZ93)),"")</f>
        <v/>
      </c>
      <c r="BH93" s="231" t="str">
        <f t="shared" si="177"/>
        <v/>
      </c>
      <c r="DS93" s="233" t="str">
        <f>Matches!M82</f>
        <v>Group I Runner Up</v>
      </c>
      <c r="DU93" s="233" t="str">
        <f>IF(ISERROR("Calculator!"&amp;VLOOKUP(DS93,Calculator!$DS$7:$DT$54,2,FALSE)),"Calculator!dr77","Calculator!"&amp;VLOOKUP(DS93,Calculator!$DS$7:$DT$54,2,FALSE))</f>
        <v>Calculator!dr77</v>
      </c>
      <c r="DX93" s="230"/>
      <c r="DY93" s="243">
        <v>86</v>
      </c>
      <c r="DZ93" s="244">
        <f t="shared" si="158"/>
        <v>46206.75</v>
      </c>
      <c r="EA93" s="247">
        <v>46206.75</v>
      </c>
      <c r="EB93" s="246">
        <f t="shared" si="75"/>
        <v>46206.75</v>
      </c>
      <c r="EC93" s="230"/>
    </row>
    <row r="94" spans="9:133" x14ac:dyDescent="0.25">
      <c r="DS94" s="233" t="str">
        <f>Matches!M83</f>
        <v>3rd Group C/E/F/H/I</v>
      </c>
      <c r="DU94" s="233" t="str">
        <f>IF(ISERROR("Calculator!"&amp;VLOOKUP(DS94,Calculator!$DS$7:$DT$54,2,FALSE)),"Calculator!dr77","Calculator!"&amp;VLOOKUP(DS94,Calculator!$DS$7:$DT$54,2,FALSE))</f>
        <v>Calculator!dr77</v>
      </c>
      <c r="DX94" s="230"/>
      <c r="DY94" s="243">
        <v>87</v>
      </c>
      <c r="DZ94" s="244">
        <f t="shared" si="158"/>
        <v>46206.895833333336</v>
      </c>
      <c r="EA94" s="247">
        <v>46206.895833333336</v>
      </c>
      <c r="EB94" s="246">
        <f t="shared" si="75"/>
        <v>46206.895833333336</v>
      </c>
      <c r="EC94" s="230"/>
    </row>
    <row r="95" spans="9:133" x14ac:dyDescent="0.25">
      <c r="DS95" s="233" t="str">
        <f>Matches!M84</f>
        <v>3rd Group E/H/I/J/K</v>
      </c>
      <c r="DU95" s="233" t="str">
        <f>IF(ISERROR("Calculator!"&amp;VLOOKUP(DS95,Calculator!$DS$7:$DT$54,2,FALSE)),"Calculator!dr77","Calculator!"&amp;VLOOKUP(DS95,Calculator!$DS$7:$DT$54,2,FALSE))</f>
        <v>Calculator!dr77</v>
      </c>
      <c r="DX95" s="230"/>
      <c r="DY95" s="243">
        <v>88</v>
      </c>
      <c r="DZ95" s="244">
        <f t="shared" si="158"/>
        <v>46206.583333333336</v>
      </c>
      <c r="EA95" s="247">
        <v>46206.583333333336</v>
      </c>
      <c r="EB95" s="246">
        <f t="shared" si="75"/>
        <v>46206.583333333336</v>
      </c>
      <c r="EC95" s="230"/>
    </row>
    <row r="96" spans="9:133" x14ac:dyDescent="0.25">
      <c r="U96" s="231">
        <f>IF(V97="",SUM(AH18:AM18),IF(V98="",SUM(AH19:AM19),IF(V99="",SUM(AH20:AM20),IF(V100="",SUM(AH21:AM21),0))))</f>
        <v>0</v>
      </c>
      <c r="AO96" s="231">
        <f>IF(AP98="",SUM(BB19:BG19),IF(AP99="",SUM(BB20:BG20),IF(AP100="",SUM(BB21:BG21),0)))</f>
        <v>0</v>
      </c>
      <c r="DS96" s="233" t="str">
        <f>Matches!M85</f>
        <v>3rd Group B/E/F/I/J</v>
      </c>
      <c r="DU96" s="233" t="str">
        <f>IF(ISERROR("Calculator!"&amp;VLOOKUP(DS96,Calculator!$DS$7:$DT$54,2,FALSE)),"Calculator!dr77","Calculator!"&amp;VLOOKUP(DS96,Calculator!$DS$7:$DT$54,2,FALSE))</f>
        <v>Calculator!dr77</v>
      </c>
      <c r="DX96" s="230"/>
      <c r="DY96" s="243">
        <v>89</v>
      </c>
      <c r="DZ96" s="244">
        <f t="shared" si="158"/>
        <v>46207.708333333336</v>
      </c>
      <c r="EA96" s="247">
        <v>46207.708333333336</v>
      </c>
      <c r="EB96" s="246">
        <f t="shared" si="75"/>
        <v>46207.708333333336</v>
      </c>
      <c r="EC96" s="230"/>
    </row>
    <row r="97" spans="10:133" x14ac:dyDescent="0.25">
      <c r="J97" s="231">
        <f>IF(COUNTIF(J$18:J$21,4)=4,1,SUMPRODUCT((J$18:J$21=J18)*(I$18:I$21=I18)*(G$18:G$21&gt;G18))+1)</f>
        <v>1</v>
      </c>
      <c r="U97" s="231">
        <f>IF(V18&lt;&gt;"",SUMPRODUCT((AC18:AC21=AC18)*(AB18:AB21=AB18)*(Z18:Z21=Z18)*(AA18:AA21=AA18)),"")</f>
        <v>4</v>
      </c>
      <c r="V97" s="231" t="str">
        <f>IF(AND(U97&lt;&gt;"",U97&gt;1),V18,"")</f>
        <v>Haiti</v>
      </c>
      <c r="W97" s="231">
        <f>SUMPRODUCT((DA$3:DA$105=V97)*(DD$3:DD$105=V98)*(DE$3:DE$105="W"))+SUMPRODUCT((DA$3:DA$105=V97)*(DD$3:DD$105=V99)*(DE$3:DE$105="W"))+SUMPRODUCT((DA$3:DA$105=V97)*(DD$3:DD$105=V100)*(DE$3:DE$105="W"))+SUMPRODUCT((DA$3:DA$105=V97)*(DD$3:DD$105=V101)*(DE$3:DE$105="W"))+SUMPRODUCT((DA$3:DA$105=V98)*(DD$3:DD$105=V97)*(DF$3:DF$105="W"))+SUMPRODUCT((DA$3:DA$105=V99)*(DD$3:DD$105=V97)*(DF$3:DF$105="W"))+SUMPRODUCT((DA$3:DA$105=V100)*(DD$3:DD$105=V97)*(DF$3:DF$105="W"))+SUMPRODUCT((DA$3:DA$105=V101)*(DD$3:DD$105=V97)*(DF$3:DF$105="W"))</f>
        <v>0</v>
      </c>
      <c r="X97" s="231">
        <f>SUMPRODUCT((DA$3:DA$105=V97)*(DD$3:DD$105=V98)*(DE$3:DE$105="D"))+SUMPRODUCT((DA$3:DA$105=V97)*(DD$3:DD$105=V99)*(DE$3:DE$105="D"))+SUMPRODUCT((DA$3:DA$105=V97)*(DD$3:DD$105=V100)*(DE$3:DE$105="D"))+SUMPRODUCT((DA$3:DA$105=V97)*(DD$3:DD$105=V101)*(DE$3:DE$105="D"))+SUMPRODUCT((DA$3:DA$105=V98)*(DD$3:DD$105=V97)*(DE$3:DE$105="D"))+SUMPRODUCT((DA$3:DA$105=V99)*(DD$3:DD$105=V97)*(DE$3:DE$105="D"))+SUMPRODUCT((DA$3:DA$105=V100)*(DD$3:DD$105=V97)*(DE$3:DE$105="D"))+SUMPRODUCT((DA$3:DA$105=V101)*(DD$3:DD$105=V97)*(DE$3:DE$105="D"))</f>
        <v>0</v>
      </c>
      <c r="Y97" s="231">
        <f>SUMPRODUCT((DA$3:DA$105=V97)*(DD$3:DD$105=V98)*(DE$3:DE$105="L"))+SUMPRODUCT((DA$3:DA$105=V97)*(DD$3:DD$105=V99)*(DE$3:DE$105="L"))+SUMPRODUCT((DA$3:DA$105=V97)*(DD$3:DD$105=V100)*(DE$3:DE$105="L"))+SUMPRODUCT((DA$3:DA$105=V97)*(DD$3:DD$105=V101)*(DE$3:DE$105="L"))+SUMPRODUCT((DA$3:DA$105=V98)*(DD$3:DD$105=V97)*(DF$3:DF$105="L"))+SUMPRODUCT((DA$3:DA$105=V99)*(DD$3:DD$105=V97)*(DF$3:DF$105="L"))+SUMPRODUCT((DA$3:DA$105=V100)*(DD$3:DD$105=V97)*(DF$3:DF$105="L"))+SUMPRODUCT((DA$3:DA$105=V101)*(DD$3:DD$105=V97)*(DF$3:DF$105="L"))</f>
        <v>0</v>
      </c>
      <c r="Z97" s="231">
        <f>SUMPRODUCT((DA$3:DA$105=V97)*(DD$3:DD$105=V98)*DB$3:DB$105)+SUMPRODUCT((DA$3:DA$105=V97)*(DD$3:DD$105=V99)*DB$3:DB$105)+SUMPRODUCT((DA$3:DA$105=V97)*(DD$3:DD$105=V100)*DB$3:DB$105)+SUMPRODUCT((DA$3:DA$105=V97)*(DD$3:DD$105=V101)*DB$3:DB$105)+SUMPRODUCT((DA$3:DA$105=V98)*(DD$3:DD$105=V97)*DC$3:DC$105)+SUMPRODUCT((DA$3:DA$105=V99)*(DD$3:DD$105=V97)*DC$3:DC$105)+SUMPRODUCT((DA$3:DA$105=V100)*(DD$3:DD$105=V97)*DC$3:DC$105)+SUMPRODUCT((DA$3:DA$105=V101)*(DD$3:DD$105=V97)*DC$3:DC$105)</f>
        <v>0</v>
      </c>
      <c r="AA97" s="231">
        <f>SUMPRODUCT((DA$3:DA$105=V97)*(DD$3:DD$105=V98)*DC$3:DC$105)+SUMPRODUCT((DA$3:DA$105=V97)*(DD$3:DD$105=V99)*DC$3:DC$105)+SUMPRODUCT((DA$3:DA$105=V97)*(DD$3:DD$105=V100)*DC$3:DC$105)+SUMPRODUCT((DA$3:DA$105=V97)*(DD$3:DD$105=V101)*DC$3:DC$105)+SUMPRODUCT((DA$3:DA$105=V98)*(DD$3:DD$105=V97)*DB$3:DB$105)+SUMPRODUCT((DA$3:DA$105=V99)*(DD$3:DD$105=V97)*DB$3:DB$105)+SUMPRODUCT((DA$3:DA$105=V100)*(DD$3:DD$105=V97)*DB$3:DB$105)+SUMPRODUCT((DA$3:DA$105=V101)*(DD$3:DD$105=V97)*DB$3:DB$105)</f>
        <v>0</v>
      </c>
      <c r="AB97" s="231">
        <f>Z97-AA97+1000</f>
        <v>1000</v>
      </c>
      <c r="AC97" s="231">
        <f>IF(V97&lt;&gt;"",W97*3+X97*1,"")</f>
        <v>0</v>
      </c>
      <c r="AD97" s="231">
        <f>IF(V97&lt;&gt;"",VLOOKUP(V97,C$4:I$52,7,FALSE),"")</f>
        <v>1000</v>
      </c>
      <c r="AE97" s="231">
        <f>IF(V97&lt;&gt;"",VLOOKUP(V97,C$4:I$52,5,FALSE),"")</f>
        <v>0</v>
      </c>
      <c r="AF97" s="231">
        <f>IF(V97&lt;&gt;"",VLOOKUP(V97,C$4:K$52,9,FALSE),"")</f>
        <v>-183</v>
      </c>
      <c r="AG97" s="231">
        <f>AC97</f>
        <v>0</v>
      </c>
      <c r="AH97" s="231">
        <f>IF(V97&lt;&gt;"",RANK(AG97,AG97:AG100),"")</f>
        <v>1</v>
      </c>
      <c r="AI97" s="231">
        <f>IF(V97&lt;&gt;"",SUMPRODUCT((AG97:AG100=AG97)*(AB97:AB100&gt;AB97)),"")</f>
        <v>0</v>
      </c>
      <c r="AJ97" s="231">
        <f>IF(V97&lt;&gt;"",SUMPRODUCT((AG97:AG100=AG97)*(AB97:AB100=AB97)*(Z97:Z100&gt;Z97)),"")</f>
        <v>0</v>
      </c>
      <c r="AK97" s="231">
        <f>IF(V97&lt;&gt;"",SUMPRODUCT((AG97:AG100=AG97)*(AB97:AB100=AB97)*(Z97:Z100=Z97)*(AD97:AD100&gt;AD97)),"")</f>
        <v>0</v>
      </c>
      <c r="AL97" s="231">
        <f>IF(V97&lt;&gt;"",SUMPRODUCT((AG97:AG100=AG97)*(AB97:AB100=AB97)*(Z97:Z100=Z97)*(AD97:AD100=AD97)*(AE97:AE100&gt;AE97)),"")</f>
        <v>0</v>
      </c>
      <c r="AM97" s="231">
        <f>IF(V97&lt;&gt;"",SUMPRODUCT((AG97:AG100=AG97)*(AB97:AB100=AB97)*(Z97:Z100=Z97)*(AD97:AD100=AD97)*(AE97:AE100=AE97)*(AF97:AF100&gt;AF97)),"")</f>
        <v>3</v>
      </c>
      <c r="AN97" s="231">
        <f>IF(V97&lt;&gt;"",SUM(AH97:AM97),"")</f>
        <v>4</v>
      </c>
      <c r="DS97" s="233" t="str">
        <f>Matches!M86</f>
        <v>3rd Group A/E/H/I/J</v>
      </c>
      <c r="DU97" s="233" t="str">
        <f>IF(ISERROR("Calculator!"&amp;VLOOKUP(DS97,Calculator!$DS$7:$DT$54,2,FALSE)),"Calculator!dr77","Calculator!"&amp;VLOOKUP(DS97,Calculator!$DS$7:$DT$54,2,FALSE))</f>
        <v>Calculator!dr77</v>
      </c>
      <c r="DX97" s="230"/>
      <c r="DY97" s="243">
        <v>90</v>
      </c>
      <c r="DZ97" s="244">
        <f t="shared" si="158"/>
        <v>46207.541666666664</v>
      </c>
      <c r="EA97" s="247">
        <v>46207.541666666664</v>
      </c>
      <c r="EB97" s="246">
        <f t="shared" si="75"/>
        <v>46207.541666666664</v>
      </c>
      <c r="EC97" s="230"/>
    </row>
    <row r="98" spans="10:133" x14ac:dyDescent="0.25">
      <c r="J98" s="231">
        <f>IF(COUNTIF(J$18:J$21,4)=4,1,SUMPRODUCT((J$18:J$21=J19)*(I$18:I$21=I19)*(G$18:G$21&gt;G19))+1)</f>
        <v>1</v>
      </c>
      <c r="U98" s="231">
        <f>IF(V19&lt;&gt;"",SUMPRODUCT((AC18:AC21=AC19)*(AB18:AB21=AB19)*(Z18:Z21=Z19)*(AA18:AA21=AA19)),"")</f>
        <v>4</v>
      </c>
      <c r="V98" s="231" t="str">
        <f>IF(AND(U98&lt;&gt;"",U98&gt;1),V19,"")</f>
        <v>Scotland</v>
      </c>
      <c r="W98" s="231">
        <f>SUMPRODUCT((DA$3:DA$105=V98)*(DD$3:DD$105=V99)*(DE$3:DE$105="W"))+SUMPRODUCT((DA$3:DA$105=V98)*(DD$3:DD$105=V100)*(DE$3:DE$105="W"))+SUMPRODUCT((DA$3:DA$105=V98)*(DD$3:DD$105=V101)*(DE$3:DE$105="W"))+SUMPRODUCT((DA$3:DA$105=V98)*(DD$3:DD$105=V97)*(DE$3:DE$105="W"))+SUMPRODUCT((DA$3:DA$105=V99)*(DD$3:DD$105=V98)*(DF$3:DF$105="W"))+SUMPRODUCT((DA$3:DA$105=V100)*(DD$3:DD$105=V98)*(DF$3:DF$105="W"))+SUMPRODUCT((DA$3:DA$105=V101)*(DD$3:DD$105=V98)*(DF$3:DF$105="W"))+SUMPRODUCT((DA$3:DA$105=V97)*(DD$3:DD$105=V98)*(DF$3:DF$105="W"))</f>
        <v>0</v>
      </c>
      <c r="X98" s="231">
        <f>SUMPRODUCT((DA$3:DA$105=V98)*(DD$3:DD$105=V99)*(DE$3:DE$105="D"))+SUMPRODUCT((DA$3:DA$105=V98)*(DD$3:DD$105=V100)*(DE$3:DE$105="D"))+SUMPRODUCT((DA$3:DA$105=V98)*(DD$3:DD$105=V101)*(DE$3:DE$105="D"))+SUMPRODUCT((DA$3:DA$105=V98)*(DD$3:DD$105=V97)*(DE$3:DE$105="D"))+SUMPRODUCT((DA$3:DA$105=V99)*(DD$3:DD$105=V98)*(DE$3:DE$105="D"))+SUMPRODUCT((DA$3:DA$105=V100)*(DD$3:DD$105=V98)*(DE$3:DE$105="D"))+SUMPRODUCT((DA$3:DA$105=V101)*(DD$3:DD$105=V98)*(DE$3:DE$105="D"))+SUMPRODUCT((DA$3:DA$105=V97)*(DD$3:DD$105=V98)*(DE$3:DE$105="D"))</f>
        <v>0</v>
      </c>
      <c r="Y98" s="231">
        <f>SUMPRODUCT((DA$3:DA$105=V98)*(DD$3:DD$105=V99)*(DE$3:DE$105="L"))+SUMPRODUCT((DA$3:DA$105=V98)*(DD$3:DD$105=V100)*(DE$3:DE$105="L"))+SUMPRODUCT((DA$3:DA$105=V98)*(DD$3:DD$105=V101)*(DE$3:DE$105="L"))+SUMPRODUCT((DA$3:DA$105=V98)*(DD$3:DD$105=V97)*(DE$3:DE$105="L"))+SUMPRODUCT((DA$3:DA$105=V99)*(DD$3:DD$105=V98)*(DF$3:DF$105="L"))+SUMPRODUCT((DA$3:DA$105=V100)*(DD$3:DD$105=V98)*(DF$3:DF$105="L"))+SUMPRODUCT((DA$3:DA$105=V101)*(DD$3:DD$105=V98)*(DF$3:DF$105="L"))+SUMPRODUCT((DA$3:DA$105=V97)*(DD$3:DD$105=V98)*(DF$3:DF$105="L"))</f>
        <v>0</v>
      </c>
      <c r="Z98" s="231">
        <f>SUMPRODUCT((DA$3:DA$105=V98)*(DD$3:DD$105=V99)*DB$3:DB$105)+SUMPRODUCT((DA$3:DA$105=V98)*(DD$3:DD$105=V100)*DB$3:DB$105)+SUMPRODUCT((DA$3:DA$105=V98)*(DD$3:DD$105=V101)*DB$3:DB$105)+SUMPRODUCT((DA$3:DA$105=V98)*(DD$3:DD$105=V97)*DB$3:DB$105)+SUMPRODUCT((DA$3:DA$105=V99)*(DD$3:DD$105=V98)*DC$3:DC$105)+SUMPRODUCT((DA$3:DA$105=V100)*(DD$3:DD$105=V98)*DC$3:DC$105)+SUMPRODUCT((DA$3:DA$105=V101)*(DD$3:DD$105=V98)*DC$3:DC$105)+SUMPRODUCT((DA$3:DA$105=V97)*(DD$3:DD$105=V98)*DC$3:DC$105)</f>
        <v>0</v>
      </c>
      <c r="AA98" s="231">
        <f>SUMPRODUCT((DA$3:DA$105=V98)*(DD$3:DD$105=V99)*DC$3:DC$105)+SUMPRODUCT((DA$3:DA$105=V98)*(DD$3:DD$105=V100)*DC$3:DC$105)+SUMPRODUCT((DA$3:DA$105=V98)*(DD$3:DD$105=V101)*DC$3:DC$105)+SUMPRODUCT((DA$3:DA$105=V98)*(DD$3:DD$105=V97)*DC$3:DC$105)+SUMPRODUCT((DA$3:DA$105=V99)*(DD$3:DD$105=V98)*DB$3:DB$105)+SUMPRODUCT((DA$3:DA$105=V100)*(DD$3:DD$105=V98)*DB$3:DB$105)+SUMPRODUCT((DA$3:DA$105=V101)*(DD$3:DD$105=V98)*DB$3:DB$105)+SUMPRODUCT((DA$3:DA$105=V97)*(DD$3:DD$105=V98)*DB$3:DB$105)</f>
        <v>0</v>
      </c>
      <c r="AB98" s="231">
        <f>Z98-AA98+1000</f>
        <v>1000</v>
      </c>
      <c r="AC98" s="231">
        <f t="shared" ref="AC98:AC100" si="178">IF(V98&lt;&gt;"",W98*3+X98*1,"")</f>
        <v>0</v>
      </c>
      <c r="AD98" s="231">
        <f>IF(V98&lt;&gt;"",VLOOKUP(V98,C$4:I$52,7,FALSE),"")</f>
        <v>1000</v>
      </c>
      <c r="AE98" s="231">
        <f>IF(V98&lt;&gt;"",VLOOKUP(V98,C$4:I$52,5,FALSE),"")</f>
        <v>0</v>
      </c>
      <c r="AF98" s="231">
        <f>IF(V98&lt;&gt;"",VLOOKUP(V98,C$4:K$52,9,FALSE),"")</f>
        <v>-138</v>
      </c>
      <c r="AG98" s="231">
        <f t="shared" ref="AG98:AG100" si="179">AC98</f>
        <v>0</v>
      </c>
      <c r="AH98" s="231">
        <f>IF(V98&lt;&gt;"",RANK(AG98,AG97:AG100),"")</f>
        <v>1</v>
      </c>
      <c r="AI98" s="231">
        <f>IF(V98&lt;&gt;"",SUMPRODUCT((AG97:AG100=AG98)*(AB97:AB100&gt;AB98)),"")</f>
        <v>0</v>
      </c>
      <c r="AJ98" s="231">
        <f>IF(V98&lt;&gt;"",SUMPRODUCT((AG97:AG100=AG98)*(AB97:AB100=AB98)*(Z97:Z100&gt;Z98)),"")</f>
        <v>0</v>
      </c>
      <c r="AK98" s="231">
        <f>IF(V98&lt;&gt;"",SUMPRODUCT((AG97:AG100=AG98)*(AB97:AB100=AB98)*(Z97:Z100=Z98)*(AD97:AD100&gt;AD98)),"")</f>
        <v>0</v>
      </c>
      <c r="AL98" s="231">
        <f>IF(V98&lt;&gt;"",SUMPRODUCT((AG97:AG100=AG98)*(AB97:AB100=AB98)*(Z97:Z100=Z98)*(AD97:AD100=AD98)*(AE97:AE100&gt;AE98)),"")</f>
        <v>0</v>
      </c>
      <c r="AM98" s="231">
        <f>IF(V98&lt;&gt;"",SUMPRODUCT((AG97:AG100=AG98)*(AB97:AB100=AB98)*(Z97:Z100=Z98)*(AD97:AD100=AD98)*(AE97:AE100=AE98)*(AF97:AF100&gt;AF98)),"")</f>
        <v>2</v>
      </c>
      <c r="AN98" s="231">
        <f>IF(V98&lt;&gt;"",SUM(AH98:AM98),"")</f>
        <v>3</v>
      </c>
      <c r="AO98" s="231" t="str">
        <f>IF(AP19&lt;&gt;"",SUMPRODUCT((AW18:AW21=AW19)*(AV18:AV21=AV19)*(AT18:AT21=AT19)*(AU18:AU21=AU19)),"")</f>
        <v/>
      </c>
      <c r="AP98" s="231" t="str">
        <f>IF(AND(AO98&lt;&gt;"",AO98&gt;1),AP19,"")</f>
        <v/>
      </c>
      <c r="AQ98" s="231">
        <f>SUMPRODUCT((DA$3:DA$105=AP98)*(DD$3:DD$105=AP99)*(DE$3:DE$105="W"))+SUMPRODUCT((DA$3:DA$105=AP98)*(DD$3:DD$105=AP100)*(DE$3:DE$105="W"))+SUMPRODUCT((DA$3:DA$105=AP98)*(DD$3:DD$105=AP101)*(DE$3:DE$105="W"))+SUMPRODUCT((DA$3:DA$105=AP99)*(DD$3:DD$105=AP98)*(DF$3:DF$105="W"))+SUMPRODUCT((DA$3:DA$105=AP100)*(DD$3:DD$105=AP98)*(DF$3:DF$105="W"))+SUMPRODUCT((DA$3:DA$105=AP101)*(DD$3:DD$105=AP98)*(DF$3:DF$105="W"))</f>
        <v>0</v>
      </c>
      <c r="AR98" s="231">
        <f>SUMPRODUCT((DA$3:DA$105=AP98)*(DD$3:DD$105=AP99)*(DE$3:DE$105="D"))+SUMPRODUCT((DA$3:DA$105=AP98)*(DD$3:DD$105=AP100)*(DE$3:DE$105="D"))+SUMPRODUCT((DA$3:DA$105=AP98)*(DD$3:DD$105=AP101)*(DE$3:DE$105="D"))+SUMPRODUCT((DA$3:DA$105=AP99)*(DD$3:DD$105=AP98)*(DE$3:DE$105="D"))+SUMPRODUCT((DA$3:DA$105=AP100)*(DD$3:DD$105=AP98)*(DE$3:DE$105="D"))+SUMPRODUCT((DA$3:DA$105=AP101)*(DD$3:DD$105=AP98)*(DE$3:DE$105="D"))</f>
        <v>0</v>
      </c>
      <c r="AS98" s="231">
        <f>SUMPRODUCT((DA$3:DA$105=AP98)*(DD$3:DD$105=AP99)*(DE$3:DE$105="L"))+SUMPRODUCT((DA$3:DA$105=AP98)*(DD$3:DD$105=AP100)*(DE$3:DE$105="L"))+SUMPRODUCT((DA$3:DA$105=AP98)*(DD$3:DD$105=AP101)*(DE$3:DE$105="L"))+SUMPRODUCT((DA$3:DA$105=AP99)*(DD$3:DD$105=AP98)*(DF$3:DF$105="L"))+SUMPRODUCT((DA$3:DA$105=AP100)*(DD$3:DD$105=AP98)*(DF$3:DF$105="L"))+SUMPRODUCT((DA$3:DA$105=AP101)*(DD$3:DD$105=AP98)*(DF$3:DF$105="L"))</f>
        <v>0</v>
      </c>
      <c r="AT98" s="231">
        <f>SUMPRODUCT((DA$3:DA$105=AP98)*(DD$3:DD$105=AP99)*DB$3:DB$105)+SUMPRODUCT((DA$3:DA$105=AP98)*(DD$3:DD$105=AP100)*DB$3:DB$105)+SUMPRODUCT((DA$3:DA$105=AP98)*(DD$3:DD$105=AP101)*DB$3:DB$105)+SUMPRODUCT((DA$3:DA$105=AP98)*(DD$3:DD$105=AP97)*DB$3:DB$105)+SUMPRODUCT((DA$3:DA$105=AP99)*(DD$3:DD$105=AP98)*DC$3:DC$105)+SUMPRODUCT((DA$3:DA$105=AP100)*(DD$3:DD$105=AP98)*DC$3:DC$105)+SUMPRODUCT((DA$3:DA$105=AP101)*(DD$3:DD$105=AP98)*DC$3:DC$105)+SUMPRODUCT((DA$3:DA$105=AP97)*(DD$3:DD$105=AP98)*DC$3:DC$105)</f>
        <v>0</v>
      </c>
      <c r="AU98" s="231">
        <f>SUMPRODUCT((DA$3:DA$105=AP98)*(DD$3:DD$105=AP99)*DC$3:DC$105)+SUMPRODUCT((DA$3:DA$105=AP98)*(DD$3:DD$105=AP100)*DC$3:DC$105)+SUMPRODUCT((DA$3:DA$105=AP98)*(DD$3:DD$105=AP101)*DC$3:DC$105)+SUMPRODUCT((DA$3:DA$105=AP98)*(DD$3:DD$105=AP97)*DC$3:DC$105)+SUMPRODUCT((DA$3:DA$105=AP99)*(DD$3:DD$105=AP98)*DB$3:DB$105)+SUMPRODUCT((DA$3:DA$105=AP100)*(DD$3:DD$105=AP98)*DB$3:DB$105)+SUMPRODUCT((DA$3:DA$105=AP101)*(DD$3:DD$105=AP98)*DB$3:DB$105)+SUMPRODUCT((DA$3:DA$105=AP97)*(DD$3:DD$105=AP98)*DB$3:DB$105)</f>
        <v>0</v>
      </c>
      <c r="AV98" s="231">
        <f>AT98-AU98+1000</f>
        <v>1000</v>
      </c>
      <c r="AW98" s="231" t="str">
        <f t="shared" ref="AW98:AW100" si="180">IF(AP98&lt;&gt;"",AQ98*3+AR98*1,"")</f>
        <v/>
      </c>
      <c r="AX98" s="231" t="str">
        <f>IF(AP98&lt;&gt;"",VLOOKUP(AP98,C$4:I$52,7,FALSE),"")</f>
        <v/>
      </c>
      <c r="AY98" s="231" t="str">
        <f>IF(AP98&lt;&gt;"",VLOOKUP(AP98,C$4:I$52,5,FALSE),"")</f>
        <v/>
      </c>
      <c r="AZ98" s="231" t="str">
        <f>IF(AP98&lt;&gt;"",VLOOKUP(AP98,C$4:K$52,9,FALSE),"")</f>
        <v/>
      </c>
      <c r="BA98" s="231" t="str">
        <f t="shared" ref="BA98:BA100" si="181">AW98</f>
        <v/>
      </c>
      <c r="BB98" s="231" t="str">
        <f>IF(AP98&lt;&gt;"",RANK(BA98,BA97:BA100),"")</f>
        <v/>
      </c>
      <c r="BC98" s="231" t="str">
        <f>IF(AP98&lt;&gt;"",SUMPRODUCT((BA97:BA100=BA98)*(AV97:AV100&gt;AV98)),"")</f>
        <v/>
      </c>
      <c r="BD98" s="231" t="str">
        <f>IF(AP98&lt;&gt;"",SUMPRODUCT((BA97:BA100=BA98)*(AV97:AV100=AV98)*(AT97:AT100&gt;AT98)),"")</f>
        <v/>
      </c>
      <c r="BE98" s="231" t="str">
        <f>IF(AP98&lt;&gt;"",SUMPRODUCT((BA97:BA100=BA98)*(AV97:AV100=AV98)*(AT97:AT100=AT98)*(AX97:AX100&gt;AX98)),"")</f>
        <v/>
      </c>
      <c r="BF98" s="231" t="str">
        <f>IF(AP98&lt;&gt;"",SUMPRODUCT((BA97:BA100=BA98)*(AV97:AV100=AV98)*(AT97:AT100=AT98)*(AX97:AX100=AX98)*(AY97:AY100&gt;AY98)),"")</f>
        <v/>
      </c>
      <c r="BG98" s="231" t="str">
        <f>IF(AP98&lt;&gt;"",SUMPRODUCT((BA97:BA100=BA98)*(AV97:AV100=AV98)*(AT97:AT100=AT98)*(AX97:AX100=AX98)*(AY97:AY100=AY98)*(AZ97:AZ100&gt;AZ98)),"")</f>
        <v/>
      </c>
      <c r="BH98" s="231" t="str">
        <f>IF(AP98&lt;&gt;"",SUM(BB98:BG98)+1,"")</f>
        <v/>
      </c>
      <c r="DS98" s="233" t="str">
        <f>Matches!M87</f>
        <v>Group L Runner Up</v>
      </c>
      <c r="DU98" s="233" t="str">
        <f>IF(ISERROR("Calculator!"&amp;VLOOKUP(DS98,Calculator!$DS$7:$DT$54,2,FALSE)),"Calculator!dr77","Calculator!"&amp;VLOOKUP(DS98,Calculator!$DS$7:$DT$54,2,FALSE))</f>
        <v>Calculator!dr77</v>
      </c>
      <c r="DX98" s="230"/>
      <c r="DY98" s="243">
        <v>91</v>
      </c>
      <c r="DZ98" s="244">
        <f t="shared" si="158"/>
        <v>46208.666666666664</v>
      </c>
      <c r="EA98" s="247">
        <v>46208.666666666664</v>
      </c>
      <c r="EB98" s="246">
        <f t="shared" si="75"/>
        <v>46208.666666666664</v>
      </c>
      <c r="EC98" s="230"/>
    </row>
    <row r="99" spans="10:133" x14ac:dyDescent="0.25">
      <c r="J99" s="231">
        <f>IF(COUNTIF(J$18:J$21,4)=4,1,SUMPRODUCT((J$18:J$21=J20)*(I$18:I$21=I20)*(G$18:G$21&gt;G20))+1)</f>
        <v>1</v>
      </c>
      <c r="U99" s="231">
        <f>IF(V20&lt;&gt;"",SUMPRODUCT((AC18:AC21=AC20)*(AB18:AB21=AB20)*(Z18:Z21=Z20)*(AA18:AA21=AA20)),"")</f>
        <v>4</v>
      </c>
      <c r="V99" s="231" t="str">
        <f>IF(AND(U99&lt;&gt;"",U99&gt;1),V20,"")</f>
        <v>Morocco</v>
      </c>
      <c r="W99" s="231">
        <f>SUMPRODUCT((DA$3:DA$105=V99)*(DD$3:DD$105=V100)*(DE$3:DE$105="W"))+SUMPRODUCT((DA$3:DA$105=V99)*(DD$3:DD$105=V101)*(DE$3:DE$105="W"))+SUMPRODUCT((DA$3:DA$105=V99)*(DD$3:DD$105=V97)*(DE$3:DE$105="W"))+SUMPRODUCT((DA$3:DA$105=V99)*(DD$3:DD$105=V98)*(DE$3:DE$105="W"))+SUMPRODUCT((DA$3:DA$105=V100)*(DD$3:DD$105=V99)*(DF$3:DF$105="W"))+SUMPRODUCT((DA$3:DA$105=V101)*(DD$3:DD$105=V99)*(DF$3:DF$105="W"))+SUMPRODUCT((DA$3:DA$105=V97)*(DD$3:DD$105=V99)*(DF$3:DF$105="W"))+SUMPRODUCT((DA$3:DA$105=V98)*(DD$3:DD$105=V99)*(DF$3:DF$105="W"))</f>
        <v>0</v>
      </c>
      <c r="X99" s="231">
        <f>SUMPRODUCT((DA$3:DA$105=V99)*(DD$3:DD$105=V100)*(DE$3:DE$105="D"))+SUMPRODUCT((DA$3:DA$105=V99)*(DD$3:DD$105=V101)*(DE$3:DE$105="D"))+SUMPRODUCT((DA$3:DA$105=V99)*(DD$3:DD$105=V97)*(DE$3:DE$105="D"))+SUMPRODUCT((DA$3:DA$105=V99)*(DD$3:DD$105=V98)*(DE$3:DE$105="D"))+SUMPRODUCT((DA$3:DA$105=V100)*(DD$3:DD$105=V99)*(DE$3:DE$105="D"))+SUMPRODUCT((DA$3:DA$105=V101)*(DD$3:DD$105=V99)*(DE$3:DE$105="D"))+SUMPRODUCT((DA$3:DA$105=V97)*(DD$3:DD$105=V99)*(DE$3:DE$105="D"))+SUMPRODUCT((DA$3:DA$105=V98)*(DD$3:DD$105=V99)*(DE$3:DE$105="D"))</f>
        <v>0</v>
      </c>
      <c r="Y99" s="231">
        <f>SUMPRODUCT((DA$3:DA$105=V99)*(DD$3:DD$105=V100)*(DE$3:DE$105="L"))+SUMPRODUCT((DA$3:DA$105=V99)*(DD$3:DD$105=V101)*(DE$3:DE$105="L"))+SUMPRODUCT((DA$3:DA$105=V99)*(DD$3:DD$105=V97)*(DE$3:DE$105="L"))+SUMPRODUCT((DA$3:DA$105=V99)*(DD$3:DD$105=V98)*(DE$3:DE$105="L"))+SUMPRODUCT((DA$3:DA$105=V100)*(DD$3:DD$105=V99)*(DF$3:DF$105="L"))+SUMPRODUCT((DA$3:DA$105=V101)*(DD$3:DD$105=V99)*(DF$3:DF$105="L"))+SUMPRODUCT((DA$3:DA$105=V97)*(DD$3:DD$105=V99)*(DF$3:DF$105="L"))+SUMPRODUCT((DA$3:DA$105=V98)*(DD$3:DD$105=V99)*(DF$3:DF$105="L"))</f>
        <v>0</v>
      </c>
      <c r="Z99" s="231">
        <f>SUMPRODUCT((DA$3:DA$105=V99)*(DD$3:DD$105=V100)*DB$3:DB$105)+SUMPRODUCT((DA$3:DA$105=V99)*(DD$3:DD$105=V101)*DB$3:DB$105)+SUMPRODUCT((DA$3:DA$105=V99)*(DD$3:DD$105=V97)*DB$3:DB$105)+SUMPRODUCT((DA$3:DA$105=V99)*(DD$3:DD$105=V98)*DB$3:DB$105)+SUMPRODUCT((DA$3:DA$105=V100)*(DD$3:DD$105=V99)*DC$3:DC$105)+SUMPRODUCT((DA$3:DA$105=V101)*(DD$3:DD$105=V99)*DC$3:DC$105)+SUMPRODUCT((DA$3:DA$105=V97)*(DD$3:DD$105=V99)*DC$3:DC$105)+SUMPRODUCT((DA$3:DA$105=V98)*(DD$3:DD$105=V99)*DC$3:DC$105)</f>
        <v>0</v>
      </c>
      <c r="AA99" s="231">
        <f>SUMPRODUCT((DA$3:DA$105=V99)*(DD$3:DD$105=V100)*DC$3:DC$105)+SUMPRODUCT((DA$3:DA$105=V99)*(DD$3:DD$105=V101)*DC$3:DC$105)+SUMPRODUCT((DA$3:DA$105=V99)*(DD$3:DD$105=V97)*DC$3:DC$105)+SUMPRODUCT((DA$3:DA$105=V99)*(DD$3:DD$105=V98)*DC$3:DC$105)+SUMPRODUCT((DA$3:DA$105=V100)*(DD$3:DD$105=V99)*DB$3:DB$105)+SUMPRODUCT((DA$3:DA$105=V101)*(DD$3:DD$105=V99)*DB$3:DB$105)+SUMPRODUCT((DA$3:DA$105=V97)*(DD$3:DD$105=V99)*DB$3:DB$105)+SUMPRODUCT((DA$3:DA$105=V98)*(DD$3:DD$105=V99)*DB$3:DB$105)</f>
        <v>0</v>
      </c>
      <c r="AB99" s="231">
        <f>Z99-AA99+1000</f>
        <v>1000</v>
      </c>
      <c r="AC99" s="231">
        <f t="shared" si="178"/>
        <v>0</v>
      </c>
      <c r="AD99" s="231">
        <f>IF(V99&lt;&gt;"",VLOOKUP(V99,C$4:I$52,7,FALSE),"")</f>
        <v>1000</v>
      </c>
      <c r="AE99" s="231">
        <f>IF(V99&lt;&gt;"",VLOOKUP(V99,C$4:I$52,5,FALSE),"")</f>
        <v>0</v>
      </c>
      <c r="AF99" s="231">
        <f>IF(V99&lt;&gt;"",VLOOKUP(V99,C$4:K$52,9,FALSE),"")</f>
        <v>-108</v>
      </c>
      <c r="AG99" s="231">
        <f t="shared" si="179"/>
        <v>0</v>
      </c>
      <c r="AH99" s="231">
        <f>IF(V99&lt;&gt;"",RANK(AG99,AG97:AG100),"")</f>
        <v>1</v>
      </c>
      <c r="AI99" s="231">
        <f>IF(V99&lt;&gt;"",SUMPRODUCT((AG97:AG100=AG99)*(AB97:AB100&gt;AB99)),"")</f>
        <v>0</v>
      </c>
      <c r="AJ99" s="231">
        <f>IF(V99&lt;&gt;"",SUMPRODUCT((AG97:AG100=AG99)*(AB97:AB100=AB99)*(Z97:Z100&gt;Z99)),"")</f>
        <v>0</v>
      </c>
      <c r="AK99" s="231">
        <f>IF(V99&lt;&gt;"",SUMPRODUCT((AG97:AG100=AG99)*(AB97:AB100=AB99)*(Z97:Z100=Z99)*(AD97:AD100&gt;AD99)),"")</f>
        <v>0</v>
      </c>
      <c r="AL99" s="231">
        <f>IF(V99&lt;&gt;"",SUMPRODUCT((AG97:AG100=AG99)*(AB97:AB100=AB99)*(Z97:Z100=Z99)*(AD97:AD100=AD99)*(AE97:AE100&gt;AE99)),"")</f>
        <v>0</v>
      </c>
      <c r="AM99" s="231">
        <f>IF(V99&lt;&gt;"",SUMPRODUCT((AG97:AG100=AG99)*(AB97:AB100=AB99)*(Z97:Z100=Z99)*(AD97:AD100=AD99)*(AE97:AE100=AE99)*(AF97:AF100&gt;AF99)),"")</f>
        <v>1</v>
      </c>
      <c r="AN99" s="231">
        <f>IF(V99&lt;&gt;"",SUM(AH99:AM99),"")</f>
        <v>2</v>
      </c>
      <c r="AO99" s="231" t="str">
        <f>IF(AP20&lt;&gt;"",SUMPRODUCT((AW18:AW21=AW20)*(AV18:AV21=AV20)*(AT18:AT21=AT20)*(AU18:AU21=AU20)),"")</f>
        <v/>
      </c>
      <c r="AP99" s="231" t="str">
        <f>IF(AND(AO99&lt;&gt;"",AO99&gt;1),AP20,"")</f>
        <v/>
      </c>
      <c r="AQ99" s="231">
        <f>SUMPRODUCT((DA$3:DA$105=AP99)*(DD$3:DD$105=AP100)*(DE$3:DE$105="W"))+SUMPRODUCT((DA$3:DA$105=AP99)*(DD$3:DD$105=AP101)*(DE$3:DE$105="W"))+SUMPRODUCT((DA$3:DA$105=AP99)*(DD$3:DD$105=AP98)*(DE$3:DE$105="W"))+SUMPRODUCT((DA$3:DA$105=AP100)*(DD$3:DD$105=AP99)*(DF$3:DF$105="W"))+SUMPRODUCT((DA$3:DA$105=AP101)*(DD$3:DD$105=AP99)*(DF$3:DF$105="W"))+SUMPRODUCT((DA$3:DA$105=AP98)*(DD$3:DD$105=AP99)*(DF$3:DF$105="W"))</f>
        <v>0</v>
      </c>
      <c r="AR99" s="231">
        <f>SUMPRODUCT((DA$3:DA$105=AP99)*(DD$3:DD$105=AP100)*(DE$3:DE$105="D"))+SUMPRODUCT((DA$3:DA$105=AP99)*(DD$3:DD$105=AP101)*(DE$3:DE$105="D"))+SUMPRODUCT((DA$3:DA$105=AP99)*(DD$3:DD$105=AP98)*(DE$3:DE$105="D"))+SUMPRODUCT((DA$3:DA$105=AP100)*(DD$3:DD$105=AP99)*(DE$3:DE$105="D"))+SUMPRODUCT((DA$3:DA$105=AP101)*(DD$3:DD$105=AP99)*(DE$3:DE$105="D"))+SUMPRODUCT((DA$3:DA$105=AP98)*(DD$3:DD$105=AP99)*(DE$3:DE$105="D"))</f>
        <v>0</v>
      </c>
      <c r="AS99" s="231">
        <f>SUMPRODUCT((DA$3:DA$105=AP99)*(DD$3:DD$105=AP100)*(DE$3:DE$105="L"))+SUMPRODUCT((DA$3:DA$105=AP99)*(DD$3:DD$105=AP101)*(DE$3:DE$105="L"))+SUMPRODUCT((DA$3:DA$105=AP99)*(DD$3:DD$105=AP98)*(DE$3:DE$105="L"))+SUMPRODUCT((DA$3:DA$105=AP100)*(DD$3:DD$105=AP99)*(DF$3:DF$105="L"))+SUMPRODUCT((DA$3:DA$105=AP101)*(DD$3:DD$105=AP99)*(DF$3:DF$105="L"))+SUMPRODUCT((DA$3:DA$105=AP98)*(DD$3:DD$105=AP99)*(DF$3:DF$105="L"))</f>
        <v>0</v>
      </c>
      <c r="AT99" s="231">
        <f>SUMPRODUCT((DA$3:DA$105=AP99)*(DD$3:DD$105=AP100)*DB$3:DB$105)+SUMPRODUCT((DA$3:DA$105=AP99)*(DD$3:DD$105=AP101)*DB$3:DB$105)+SUMPRODUCT((DA$3:DA$105=AP99)*(DD$3:DD$105=AP97)*DB$3:DB$105)+SUMPRODUCT((DA$3:DA$105=AP99)*(DD$3:DD$105=AP98)*DB$3:DB$105)+SUMPRODUCT((DA$3:DA$105=AP100)*(DD$3:DD$105=AP99)*DC$3:DC$105)+SUMPRODUCT((DA$3:DA$105=AP101)*(DD$3:DD$105=AP99)*DC$3:DC$105)+SUMPRODUCT((DA$3:DA$105=AP97)*(DD$3:DD$105=AP99)*DC$3:DC$105)+SUMPRODUCT((DA$3:DA$105=AP98)*(DD$3:DD$105=AP99)*DC$3:DC$105)</f>
        <v>0</v>
      </c>
      <c r="AU99" s="231">
        <f>SUMPRODUCT((DA$3:DA$105=AP99)*(DD$3:DD$105=AP100)*DC$3:DC$105)+SUMPRODUCT((DA$3:DA$105=AP99)*(DD$3:DD$105=AP101)*DC$3:DC$105)+SUMPRODUCT((DA$3:DA$105=AP99)*(DD$3:DD$105=AP97)*DC$3:DC$105)+SUMPRODUCT((DA$3:DA$105=AP99)*(DD$3:DD$105=AP98)*DC$3:DC$105)+SUMPRODUCT((DA$3:DA$105=AP100)*(DD$3:DD$105=AP99)*DB$3:DB$105)+SUMPRODUCT((DA$3:DA$105=AP101)*(DD$3:DD$105=AP99)*DB$3:DB$105)+SUMPRODUCT((DA$3:DA$105=AP97)*(DD$3:DD$105=AP99)*DB$3:DB$105)+SUMPRODUCT((DA$3:DA$105=AP98)*(DD$3:DD$105=AP99)*DB$3:DB$105)</f>
        <v>0</v>
      </c>
      <c r="AV99" s="231">
        <f>AT99-AU99+1000</f>
        <v>1000</v>
      </c>
      <c r="AW99" s="231" t="str">
        <f t="shared" si="180"/>
        <v/>
      </c>
      <c r="AX99" s="231" t="str">
        <f>IF(AP99&lt;&gt;"",VLOOKUP(AP99,C$4:I$52,7,FALSE),"")</f>
        <v/>
      </c>
      <c r="AY99" s="231" t="str">
        <f>IF(AP99&lt;&gt;"",VLOOKUP(AP99,C$4:I$52,5,FALSE),"")</f>
        <v/>
      </c>
      <c r="AZ99" s="231" t="str">
        <f>IF(AP99&lt;&gt;"",VLOOKUP(AP99,C$4:K$52,9,FALSE),"")</f>
        <v/>
      </c>
      <c r="BA99" s="231" t="str">
        <f t="shared" si="181"/>
        <v/>
      </c>
      <c r="BB99" s="231" t="str">
        <f>IF(AP99&lt;&gt;"",RANK(BA99,BA97:BA100),"")</f>
        <v/>
      </c>
      <c r="BC99" s="231" t="str">
        <f>IF(AP99&lt;&gt;"",SUMPRODUCT((BA97:BA100=BA99)*(AV97:AV100&gt;AV99)),"")</f>
        <v/>
      </c>
      <c r="BD99" s="231" t="str">
        <f>IF(AP99&lt;&gt;"",SUMPRODUCT((BA97:BA100=BA99)*(AV97:AV100=AV99)*(AT97:AT100&gt;AT99)),"")</f>
        <v/>
      </c>
      <c r="BE99" s="231" t="str">
        <f>IF(AP99&lt;&gt;"",SUMPRODUCT((BA97:BA100=BA99)*(AV97:AV100=AV99)*(AT97:AT100=AT99)*(AX97:AX100&gt;AX99)),"")</f>
        <v/>
      </c>
      <c r="BF99" s="231" t="str">
        <f>IF(AP99&lt;&gt;"",SUMPRODUCT((BA97:BA100=BA99)*(AV97:AV100=AV99)*(AT97:AT100=AT99)*(AX97:AX100=AX99)*(AY97:AY100&gt;AY99)),"")</f>
        <v/>
      </c>
      <c r="BG99" s="231" t="str">
        <f>IF(AP99&lt;&gt;"",SUMPRODUCT((BA97:BA100=BA99)*(AV97:AV100=AV99)*(AT97:AT100=AT99)*(AX97:AX100=AX99)*(AY97:AY100=AY99)*(AZ97:AZ100&gt;AZ99)),"")</f>
        <v/>
      </c>
      <c r="BH99" s="231" t="str">
        <f t="shared" ref="BH99:BH100" si="182">IF(AP99&lt;&gt;"",SUM(BB99:BG99)+1,"")</f>
        <v/>
      </c>
      <c r="DS99" s="233" t="str">
        <f>Matches!M88</f>
        <v>Group J Runner Up</v>
      </c>
      <c r="DU99" s="233" t="str">
        <f>IF(ISERROR("Calculator!"&amp;VLOOKUP(DS99,Calculator!$DS$7:$DT$54,2,FALSE)),"Calculator!dr77","Calculator!"&amp;VLOOKUP(DS99,Calculator!$DS$7:$DT$54,2,FALSE))</f>
        <v>Calculator!dr77</v>
      </c>
      <c r="DX99" s="230"/>
      <c r="DY99" s="243">
        <v>92</v>
      </c>
      <c r="DZ99" s="244">
        <f t="shared" si="158"/>
        <v>46208.833333333336</v>
      </c>
      <c r="EA99" s="247">
        <v>46208.833333333336</v>
      </c>
      <c r="EB99" s="246">
        <f t="shared" si="75"/>
        <v>46208.833333333336</v>
      </c>
      <c r="EC99" s="230"/>
    </row>
    <row r="100" spans="10:133" x14ac:dyDescent="0.25">
      <c r="J100" s="231">
        <f>IF(COUNTIF(J$18:J$21,4)=4,1,SUMPRODUCT((J$18:J$21=J21)*(I$18:I$21=I21)*(G$18:G$21&gt;G21))+1)</f>
        <v>1</v>
      </c>
      <c r="U100" s="231">
        <f>IF(V21&lt;&gt;"",SUMPRODUCT((AC18:AC21=AC21)*(AB18:AB21=AB21)*(Z18:Z21=Z21)*(AA18:AA21=AA21)),"")</f>
        <v>4</v>
      </c>
      <c r="V100" s="231" t="str">
        <f>IF(AND(U100&lt;&gt;"",U100&gt;1),V21,"")</f>
        <v>Brazil</v>
      </c>
      <c r="W100" s="231">
        <f>SUMPRODUCT((DA$3:DA$105=V100)*(DD$3:DD$105=V101)*(DE$3:DE$105="W"))+SUMPRODUCT((DA$3:DA$105=V100)*(DD$3:DD$105=V97)*(DE$3:DE$105="W"))+SUMPRODUCT((DA$3:DA$105=V100)*(DD$3:DD$105=V98)*(DE$3:DE$105="W"))+SUMPRODUCT((DA$3:DA$105=V100)*(DD$3:DD$105=V99)*(DE$3:DE$105="W"))+SUMPRODUCT((DA$3:DA$105=V101)*(DD$3:DD$105=V100)*(DF$3:DF$105="W"))+SUMPRODUCT((DA$3:DA$105=V97)*(DD$3:DD$105=V100)*(DF$3:DF$105="W"))+SUMPRODUCT((DA$3:DA$105=V98)*(DD$3:DD$105=V100)*(DF$3:DF$105="W"))+SUMPRODUCT((DA$3:DA$105=V99)*(DD$3:DD$105=V100)*(DF$3:DF$105="W"))</f>
        <v>0</v>
      </c>
      <c r="X100" s="231">
        <f>SUMPRODUCT((DA$3:DA$105=V100)*(DD$3:DD$105=V101)*(DE$3:DE$105="D"))+SUMPRODUCT((DA$3:DA$105=V100)*(DD$3:DD$105=V97)*(DE$3:DE$105="D"))+SUMPRODUCT((DA$3:DA$105=V100)*(DD$3:DD$105=V98)*(DE$3:DE$105="D"))+SUMPRODUCT((DA$3:DA$105=V100)*(DD$3:DD$105=V99)*(DE$3:DE$105="D"))+SUMPRODUCT((DA$3:DA$105=V101)*(DD$3:DD$105=V100)*(DE$3:DE$105="D"))+SUMPRODUCT((DA$3:DA$105=V97)*(DD$3:DD$105=V100)*(DE$3:DE$105="D"))+SUMPRODUCT((DA$3:DA$105=V98)*(DD$3:DD$105=V100)*(DE$3:DE$105="D"))+SUMPRODUCT((DA$3:DA$105=V99)*(DD$3:DD$105=V100)*(DE$3:DE$105="D"))</f>
        <v>0</v>
      </c>
      <c r="Y100" s="231">
        <f>SUMPRODUCT((DA$3:DA$105=V100)*(DD$3:DD$105=V101)*(DE$3:DE$105="L"))+SUMPRODUCT((DA$3:DA$105=V100)*(DD$3:DD$105=V97)*(DE$3:DE$105="L"))+SUMPRODUCT((DA$3:DA$105=V100)*(DD$3:DD$105=V98)*(DE$3:DE$105="L"))+SUMPRODUCT((DA$3:DA$105=V100)*(DD$3:DD$105=V99)*(DE$3:DE$105="L"))+SUMPRODUCT((DA$3:DA$105=V101)*(DD$3:DD$105=V100)*(DF$3:DF$105="L"))+SUMPRODUCT((DA$3:DA$105=V97)*(DD$3:DD$105=V100)*(DF$3:DF$105="L"))+SUMPRODUCT((DA$3:DA$105=V98)*(DD$3:DD$105=V100)*(DF$3:DF$105="L"))+SUMPRODUCT((DA$3:DA$105=V99)*(DD$3:DD$105=V100)*(DF$3:DF$105="L"))</f>
        <v>0</v>
      </c>
      <c r="Z100" s="231">
        <f>SUMPRODUCT((DA$3:DA$105=V100)*(DD$3:DD$105=V101)*DB$3:DB$105)+SUMPRODUCT((DA$3:DA$105=V100)*(DD$3:DD$105=V97)*DB$3:DB$105)+SUMPRODUCT((DA$3:DA$105=V100)*(DD$3:DD$105=V98)*DB$3:DB$105)+SUMPRODUCT((DA$3:DA$105=V100)*(DD$3:DD$105=V99)*DB$3:DB$105)+SUMPRODUCT((DA$3:DA$105=V101)*(DD$3:DD$105=V100)*DC$3:DC$105)+SUMPRODUCT((DA$3:DA$105=V97)*(DD$3:DD$105=V100)*DC$3:DC$105)+SUMPRODUCT((DA$3:DA$105=V98)*(DD$3:DD$105=V100)*DC$3:DC$105)+SUMPRODUCT((DA$3:DA$105=V99)*(DD$3:DD$105=V100)*DC$3:DC$105)</f>
        <v>0</v>
      </c>
      <c r="AA100" s="231">
        <f>SUMPRODUCT((DA$3:DA$105=V100)*(DD$3:DD$105=V101)*DC$3:DC$105)+SUMPRODUCT((DA$3:DA$105=V100)*(DD$3:DD$105=V97)*DC$3:DC$105)+SUMPRODUCT((DA$3:DA$105=V100)*(DD$3:DD$105=V98)*DC$3:DC$105)+SUMPRODUCT((DA$3:DA$105=V100)*(DD$3:DD$105=V99)*DC$3:DC$105)+SUMPRODUCT((DA$3:DA$105=V101)*(DD$3:DD$105=V100)*DB$3:DB$105)+SUMPRODUCT((DA$3:DA$105=V97)*(DD$3:DD$105=V100)*DB$3:DB$105)+SUMPRODUCT((DA$3:DA$105=V98)*(DD$3:DD$105=V100)*DB$3:DB$105)+SUMPRODUCT((DA$3:DA$105=V99)*(DD$3:DD$105=V100)*DB$3:DB$105)</f>
        <v>0</v>
      </c>
      <c r="AB100" s="231">
        <f>Z100-AA100+1000</f>
        <v>1000</v>
      </c>
      <c r="AC100" s="231">
        <f t="shared" si="178"/>
        <v>0</v>
      </c>
      <c r="AD100" s="231">
        <f>IF(V100&lt;&gt;"",VLOOKUP(V100,C$4:I$52,7,FALSE),"")</f>
        <v>1000</v>
      </c>
      <c r="AE100" s="231">
        <f>IF(V100&lt;&gt;"",VLOOKUP(V100,C$4:I$52,5,FALSE),"")</f>
        <v>0</v>
      </c>
      <c r="AF100" s="231">
        <f>IF(V100&lt;&gt;"",VLOOKUP(V100,C$4:K$52,9,FALSE),"")</f>
        <v>-105</v>
      </c>
      <c r="AG100" s="231">
        <f t="shared" si="179"/>
        <v>0</v>
      </c>
      <c r="AH100" s="231">
        <f>IF(V100&lt;&gt;"",RANK(AG100,AG97:AG100),"")</f>
        <v>1</v>
      </c>
      <c r="AI100" s="231">
        <f>IF(V100&lt;&gt;"",SUMPRODUCT((AG97:AG100=AG100)*(AB97:AB100&gt;AB100)),"")</f>
        <v>0</v>
      </c>
      <c r="AJ100" s="231">
        <f>IF(V100&lt;&gt;"",SUMPRODUCT((AG97:AG100=AG100)*(AB97:AB100=AB100)*(Z97:Z100&gt;Z100)),"")</f>
        <v>0</v>
      </c>
      <c r="AK100" s="231">
        <f>IF(V100&lt;&gt;"",SUMPRODUCT((AG97:AG100=AG100)*(AB97:AB100=AB100)*(Z97:Z100=Z100)*(AD97:AD100&gt;AD100)),"")</f>
        <v>0</v>
      </c>
      <c r="AL100" s="231">
        <f>IF(V100&lt;&gt;"",SUMPRODUCT((AG97:AG100=AG100)*(AB97:AB100=AB100)*(Z97:Z100=Z100)*(AD97:AD100=AD100)*(AE97:AE100&gt;AE100)),"")</f>
        <v>0</v>
      </c>
      <c r="AM100" s="231">
        <f>IF(V100&lt;&gt;"",SUMPRODUCT((AG97:AG100=AG100)*(AB97:AB100=AB100)*(Z97:Z100=Z100)*(AD97:AD100=AD100)*(AE97:AE100=AE100)*(AF97:AF100&gt;AF100)),"")</f>
        <v>0</v>
      </c>
      <c r="AN100" s="231">
        <f>IF(V100&lt;&gt;"",SUM(AH100:AM100),"")</f>
        <v>1</v>
      </c>
      <c r="AO100" s="231" t="str">
        <f>IF(AP21&lt;&gt;"",SUMPRODUCT((AW18:AW21=AW21)*(AV18:AV21=AV21)*(AT18:AT21=AT21)*(AU18:AU21=AU21)),"")</f>
        <v/>
      </c>
      <c r="AP100" s="231" t="str">
        <f>IF(AND(AO100&lt;&gt;"",AO100&gt;1),AP21,"")</f>
        <v/>
      </c>
      <c r="AQ100" s="231" t="str">
        <f>IF(AP100&lt;&gt;"",SUMPRODUCT((DA$3:DA$105=AP100)*(DD$3:DD$105=AP101)*(DE$3:DE$105="W"))+SUMPRODUCT((DA$3:DA$105=AP100)*(DD$3:DD$105=AP98)*(DE$3:DE$105="W"))+SUMPRODUCT((DA$3:DA$105=AP100)*(DD$3:DD$105=AP99)*(DE$3:DE$105="W"))+SUMPRODUCT((DA$3:DA$105=AP101)*(DD$3:DD$105=AP100)*(DF$3:DF$105="W"))+SUMPRODUCT((DA$3:DA$105=AP98)*(DD$3:DD$105=AP100)*(DF$3:DF$105="W"))+SUMPRODUCT((DA$3:DA$105=AP99)*(DD$3:DD$105=AP100)*(DF$3:DF$105="W")),"")</f>
        <v/>
      </c>
      <c r="AR100" s="231" t="str">
        <f>IF(AP100&lt;&gt;"",SUMPRODUCT((DA$3:DA$105=AP100)*(DD$3:DD$105=AP101)*(DE$3:DE$105="D"))+SUMPRODUCT((DA$3:DA$105=AP100)*(DD$3:DD$105=AP98)*(DE$3:DE$105="D"))+SUMPRODUCT((DA$3:DA$105=AP100)*(DD$3:DD$105=AP99)*(DE$3:DE$105="D"))+SUMPRODUCT((DA$3:DA$105=AP101)*(DD$3:DD$105=AP100)*(DE$3:DE$105="D"))+SUMPRODUCT((DA$3:DA$105=AP98)*(DD$3:DD$105=AP100)*(DE$3:DE$105="D"))+SUMPRODUCT((DA$3:DA$105=AP99)*(DD$3:DD$105=AP100)*(DE$3:DE$105="D")),"")</f>
        <v/>
      </c>
      <c r="AS100" s="231" t="str">
        <f>IF(AP100&lt;&gt;"",SUMPRODUCT((DA$3:DA$105=AP100)*(DD$3:DD$105=AP101)*(DE$3:DE$105="L"))+SUMPRODUCT((DA$3:DA$105=AP100)*(DD$3:DD$105=AP98)*(DE$3:DE$105="L"))+SUMPRODUCT((DA$3:DA$105=AP100)*(DD$3:DD$105=AP99)*(DE$3:DE$105="L"))+SUMPRODUCT((DA$3:DA$105=AP101)*(DD$3:DD$105=AP100)*(DF$3:DF$105="L"))+SUMPRODUCT((DA$3:DA$105=AP98)*(DD$3:DD$105=AP100)*(DF$3:DF$105="L"))+SUMPRODUCT((DA$3:DA$105=AP99)*(DD$3:DD$105=AP100)*(DF$3:DF$105="L")),"")</f>
        <v/>
      </c>
      <c r="AT100" s="231">
        <f>SUMPRODUCT((DA$3:DA$105=AP100)*(DD$3:DD$105=AP101)*DB$3:DB$105)+SUMPRODUCT((DA$3:DA$105=AP100)*(DD$3:DD$105=AP97)*DB$3:DB$105)+SUMPRODUCT((DA$3:DA$105=AP100)*(DD$3:DD$105=AP98)*DB$3:DB$105)+SUMPRODUCT((DA$3:DA$105=AP100)*(DD$3:DD$105=AP99)*DB$3:DB$105)+SUMPRODUCT((DA$3:DA$105=AP101)*(DD$3:DD$105=AP100)*DC$3:DC$105)+SUMPRODUCT((DA$3:DA$105=AP97)*(DD$3:DD$105=AP100)*DC$3:DC$105)+SUMPRODUCT((DA$3:DA$105=AP98)*(DD$3:DD$105=AP100)*DC$3:DC$105)+SUMPRODUCT((DA$3:DA$105=AP99)*(DD$3:DD$105=AP100)*DC$3:DC$105)</f>
        <v>0</v>
      </c>
      <c r="AU100" s="231">
        <f>SUMPRODUCT((DA$3:DA$105=AP100)*(DD$3:DD$105=AP101)*DC$3:DC$105)+SUMPRODUCT((DA$3:DA$105=AP100)*(DD$3:DD$105=AP97)*DC$3:DC$105)+SUMPRODUCT((DA$3:DA$105=AP100)*(DD$3:DD$105=AP98)*DC$3:DC$105)+SUMPRODUCT((DA$3:DA$105=AP100)*(DD$3:DD$105=AP99)*DC$3:DC$105)+SUMPRODUCT((DA$3:DA$105=AP101)*(DD$3:DD$105=AP100)*DB$3:DB$105)+SUMPRODUCT((DA$3:DA$105=AP97)*(DD$3:DD$105=AP100)*DB$3:DB$105)+SUMPRODUCT((DA$3:DA$105=AP98)*(DD$3:DD$105=AP100)*DB$3:DB$105)+SUMPRODUCT((DA$3:DA$105=AP99)*(DD$3:DD$105=AP100)*DB$3:DB$105)</f>
        <v>0</v>
      </c>
      <c r="AV100" s="231">
        <f>AT100-AU100+1000</f>
        <v>1000</v>
      </c>
      <c r="AW100" s="231" t="str">
        <f t="shared" si="180"/>
        <v/>
      </c>
      <c r="AX100" s="231" t="str">
        <f>IF(AP100&lt;&gt;"",VLOOKUP(AP100,C$4:I$52,7,FALSE),"")</f>
        <v/>
      </c>
      <c r="AY100" s="231" t="str">
        <f>IF(AP100&lt;&gt;"",VLOOKUP(AP100,C$4:I$52,5,FALSE),"")</f>
        <v/>
      </c>
      <c r="AZ100" s="231" t="str">
        <f>IF(AP100&lt;&gt;"",VLOOKUP(AP100,C$4:K$52,9,FALSE),"")</f>
        <v/>
      </c>
      <c r="BA100" s="231" t="str">
        <f t="shared" si="181"/>
        <v/>
      </c>
      <c r="BB100" s="231" t="str">
        <f>IF(AP100&lt;&gt;"",RANK(BA100,BA97:BA100),"")</f>
        <v/>
      </c>
      <c r="BC100" s="231" t="str">
        <f>IF(AP100&lt;&gt;"",SUMPRODUCT((BA97:BA100=BA100)*(AV97:AV100&gt;AV100)),"")</f>
        <v/>
      </c>
      <c r="BD100" s="231" t="str">
        <f>IF(AP100&lt;&gt;"",SUMPRODUCT((BA97:BA100=BA100)*(AV97:AV100=AV100)*(AT97:AT100&gt;AT100)),"")</f>
        <v/>
      </c>
      <c r="BE100" s="231" t="str">
        <f>IF(AP100&lt;&gt;"",SUMPRODUCT((BA97:BA100=BA100)*(AV97:AV100=AV100)*(AT97:AT100=AT100)*(AX97:AX100&gt;AX100)),"")</f>
        <v/>
      </c>
      <c r="BF100" s="231" t="str">
        <f>IF(AP100&lt;&gt;"",SUMPRODUCT((BA97:BA100=BA100)*(AV97:AV100=AV100)*(AT97:AT100=AT100)*(AX97:AX100=AX100)*(AY97:AY100&gt;AY100)),"")</f>
        <v/>
      </c>
      <c r="BG100" s="231" t="str">
        <f>IF(AP100&lt;&gt;"",SUMPRODUCT((BA97:BA100=BA100)*(AV97:AV100=AV100)*(AT97:AT100=AT100)*(AX97:AX100=AX100)*(AY97:AY100=AY100)*(AZ97:AZ100&gt;AZ100)),"")</f>
        <v/>
      </c>
      <c r="BH100" s="231" t="str">
        <f t="shared" si="182"/>
        <v/>
      </c>
      <c r="DS100" s="233" t="str">
        <f>Matches!M89</f>
        <v>3rd Group E/F/G/I/J</v>
      </c>
      <c r="DU100" s="233" t="str">
        <f>IF(ISERROR("Calculator!"&amp;VLOOKUP(DS100,Calculator!$DS$7:$DT$54,2,FALSE)),"Calculator!dr77","Calculator!"&amp;VLOOKUP(DS100,Calculator!$DS$7:$DT$54,2,FALSE))</f>
        <v>Calculator!dr77</v>
      </c>
      <c r="DX100" s="230"/>
      <c r="DY100" s="243">
        <v>93</v>
      </c>
      <c r="DZ100" s="244">
        <f t="shared" si="158"/>
        <v>46209.625</v>
      </c>
      <c r="EA100" s="247">
        <v>46209.625</v>
      </c>
      <c r="EB100" s="246">
        <f t="shared" si="75"/>
        <v>46209.625</v>
      </c>
      <c r="EC100" s="230"/>
    </row>
    <row r="101" spans="10:133" x14ac:dyDescent="0.25">
      <c r="DS101" s="233" t="str">
        <f>Matches!M90</f>
        <v>Group H Runner Up</v>
      </c>
      <c r="DU101" s="233" t="str">
        <f>IF(ISERROR("Calculator!"&amp;VLOOKUP(DS101,Calculator!$DS$7:$DT$54,2,FALSE)),"Calculator!dr77","Calculator!"&amp;VLOOKUP(DS101,Calculator!$DS$7:$DT$54,2,FALSE))</f>
        <v>Calculator!dr77</v>
      </c>
      <c r="DX101" s="230"/>
      <c r="DY101" s="243">
        <v>94</v>
      </c>
      <c r="DZ101" s="244">
        <f t="shared" si="158"/>
        <v>46209.833333333336</v>
      </c>
      <c r="EA101" s="247">
        <v>46209.833333333336</v>
      </c>
      <c r="EB101" s="246">
        <f t="shared" si="75"/>
        <v>46209.833333333336</v>
      </c>
      <c r="EC101" s="230"/>
    </row>
    <row r="102" spans="10:133" x14ac:dyDescent="0.25">
      <c r="DS102" s="233" t="str">
        <f>Matches!M91</f>
        <v>3rd Group D/E/I/J/L</v>
      </c>
      <c r="DU102" s="233" t="str">
        <f>IF(ISERROR("Calculator!"&amp;VLOOKUP(DS102,Calculator!$DS$7:$DT$54,2,FALSE)),"Calculator!dr77","Calculator!"&amp;VLOOKUP(DS102,Calculator!$DS$7:$DT$54,2,FALSE))</f>
        <v>Calculator!dr77</v>
      </c>
      <c r="DX102" s="230"/>
      <c r="DY102" s="243">
        <v>95</v>
      </c>
      <c r="DZ102" s="244">
        <f t="shared" si="158"/>
        <v>46210.5</v>
      </c>
      <c r="EA102" s="247">
        <v>46210.5</v>
      </c>
      <c r="EB102" s="246">
        <f t="shared" si="75"/>
        <v>46210.5</v>
      </c>
      <c r="EC102" s="230"/>
    </row>
    <row r="103" spans="10:133" x14ac:dyDescent="0.25">
      <c r="U103" s="231">
        <f>IF(V104="",SUM(AH25:AM25),IF(V105="",SUM(AH26:AM26),IF(V106="",SUM(AH27:AM27),IF(V107="",SUM(AH28:AM28),0))))</f>
        <v>0</v>
      </c>
      <c r="AO103" s="231">
        <f>IF(AP105="",SUM(BB26:BG26),IF(AP106="",SUM(BB27:BG27),IF(AP107="",SUM(BB28:BG28),0)))</f>
        <v>0</v>
      </c>
      <c r="DS103" s="233" t="str">
        <f>Matches!M92</f>
        <v>Group G Runner Up</v>
      </c>
      <c r="DU103" s="233" t="str">
        <f>IF(ISERROR("Calculator!"&amp;VLOOKUP(DS103,Calculator!$DS$7:$DT$54,2,FALSE)),"Calculator!dr77","Calculator!"&amp;VLOOKUP(DS103,Calculator!$DS$7:$DT$54,2,FALSE))</f>
        <v>Calculator!dr77</v>
      </c>
      <c r="DX103" s="230"/>
      <c r="DY103" s="243">
        <v>96</v>
      </c>
      <c r="DZ103" s="244">
        <f t="shared" si="158"/>
        <v>46210.666666666664</v>
      </c>
      <c r="EA103" s="247">
        <v>46210.666666666664</v>
      </c>
      <c r="EB103" s="246">
        <f t="shared" si="75"/>
        <v>46210.666666666664</v>
      </c>
      <c r="EC103" s="230"/>
    </row>
    <row r="104" spans="10:133" x14ac:dyDescent="0.25">
      <c r="J104" s="231">
        <f>IF(COUNTIF(J$25:J$28,4)=4,1,SUMPRODUCT((J$25:J$28=J25)*(I$25:I$28=I25)*(G$25:G$28&gt;G25))+1)</f>
        <v>1</v>
      </c>
      <c r="U104" s="231">
        <f>IF(V25&lt;&gt;"",SUMPRODUCT((AC25:AC28=AC25)*(AB25:AB28=AB25)*(Z25:Z28=Z25)*(AA25:AA28=AA25)),"")</f>
        <v>4</v>
      </c>
      <c r="V104" s="231" t="str">
        <f>IF(AND(U104&lt;&gt;"",U104&gt;1),V25,"")</f>
        <v>Paraguay</v>
      </c>
      <c r="W104" s="231">
        <f>SUMPRODUCT((DA$3:DA$105=V104)*(DD$3:DD$105=V105)*(DE$3:DE$105="W"))+SUMPRODUCT((DA$3:DA$105=V104)*(DD$3:DD$105=V106)*(DE$3:DE$105="W"))+SUMPRODUCT((DA$3:DA$105=V104)*(DD$3:DD$105=V107)*(DE$3:DE$105="W"))+SUMPRODUCT((DA$3:DA$105=V104)*(DD$3:DD$105=V108)*(DE$3:DE$105="W"))+SUMPRODUCT((DA$3:DA$105=V105)*(DD$3:DD$105=V104)*(DF$3:DF$105="W"))+SUMPRODUCT((DA$3:DA$105=V106)*(DD$3:DD$105=V104)*(DF$3:DF$105="W"))+SUMPRODUCT((DA$3:DA$105=V107)*(DD$3:DD$105=V104)*(DF$3:DF$105="W"))+SUMPRODUCT((DA$3:DA$105=V108)*(DD$3:DD$105=V104)*(DF$3:DF$105="W"))</f>
        <v>0</v>
      </c>
      <c r="X104" s="231">
        <f>SUMPRODUCT((DA$3:DA$105=V104)*(DD$3:DD$105=V105)*(DE$3:DE$105="D"))+SUMPRODUCT((DA$3:DA$105=V104)*(DD$3:DD$105=V106)*(DE$3:DE$105="D"))+SUMPRODUCT((DA$3:DA$105=V104)*(DD$3:DD$105=V107)*(DE$3:DE$105="D"))+SUMPRODUCT((DA$3:DA$105=V104)*(DD$3:DD$105=V108)*(DE$3:DE$105="D"))+SUMPRODUCT((DA$3:DA$105=V105)*(DD$3:DD$105=V104)*(DE$3:DE$105="D"))+SUMPRODUCT((DA$3:DA$105=V106)*(DD$3:DD$105=V104)*(DE$3:DE$105="D"))+SUMPRODUCT((DA$3:DA$105=V107)*(DD$3:DD$105=V104)*(DE$3:DE$105="D"))+SUMPRODUCT((DA$3:DA$105=V108)*(DD$3:DD$105=V104)*(DE$3:DE$105="D"))</f>
        <v>0</v>
      </c>
      <c r="Y104" s="231">
        <f>SUMPRODUCT((DA$3:DA$105=V104)*(DD$3:DD$105=V105)*(DE$3:DE$105="L"))+SUMPRODUCT((DA$3:DA$105=V104)*(DD$3:DD$105=V106)*(DE$3:DE$105="L"))+SUMPRODUCT((DA$3:DA$105=V104)*(DD$3:DD$105=V107)*(DE$3:DE$105="L"))+SUMPRODUCT((DA$3:DA$105=V104)*(DD$3:DD$105=V108)*(DE$3:DE$105="L"))+SUMPRODUCT((DA$3:DA$105=V105)*(DD$3:DD$105=V104)*(DF$3:DF$105="L"))+SUMPRODUCT((DA$3:DA$105=V106)*(DD$3:DD$105=V104)*(DF$3:DF$105="L"))+SUMPRODUCT((DA$3:DA$105=V107)*(DD$3:DD$105=V104)*(DF$3:DF$105="L"))+SUMPRODUCT((DA$3:DA$105=V108)*(DD$3:DD$105=V104)*(DF$3:DF$105="L"))</f>
        <v>0</v>
      </c>
      <c r="Z104" s="231">
        <f>SUMPRODUCT((DA$3:DA$105=V104)*(DD$3:DD$105=V105)*DB$3:DB$105)+SUMPRODUCT((DA$3:DA$105=V104)*(DD$3:DD$105=V106)*DB$3:DB$105)+SUMPRODUCT((DA$3:DA$105=V104)*(DD$3:DD$105=V107)*DB$3:DB$105)+SUMPRODUCT((DA$3:DA$105=V104)*(DD$3:DD$105=V108)*DB$3:DB$105)+SUMPRODUCT((DA$3:DA$105=V105)*(DD$3:DD$105=V104)*DC$3:DC$105)+SUMPRODUCT((DA$3:DA$105=V106)*(DD$3:DD$105=V104)*DC$3:DC$105)+SUMPRODUCT((DA$3:DA$105=V107)*(DD$3:DD$105=V104)*DC$3:DC$105)+SUMPRODUCT((DA$3:DA$105=V108)*(DD$3:DD$105=V104)*DC$3:DC$105)</f>
        <v>0</v>
      </c>
      <c r="AA104" s="231">
        <f>SUMPRODUCT((DA$3:DA$105=V104)*(DD$3:DD$105=V105)*DC$3:DC$105)+SUMPRODUCT((DA$3:DA$105=V104)*(DD$3:DD$105=V106)*DC$3:DC$105)+SUMPRODUCT((DA$3:DA$105=V104)*(DD$3:DD$105=V107)*DC$3:DC$105)+SUMPRODUCT((DA$3:DA$105=V104)*(DD$3:DD$105=V108)*DC$3:DC$105)+SUMPRODUCT((DA$3:DA$105=V105)*(DD$3:DD$105=V104)*DB$3:DB$105)+SUMPRODUCT((DA$3:DA$105=V106)*(DD$3:DD$105=V104)*DB$3:DB$105)+SUMPRODUCT((DA$3:DA$105=V107)*(DD$3:DD$105=V104)*DB$3:DB$105)+SUMPRODUCT((DA$3:DA$105=V108)*(DD$3:DD$105=V104)*DB$3:DB$105)</f>
        <v>0</v>
      </c>
      <c r="AB104" s="231">
        <f>Z104-AA104+1000</f>
        <v>1000</v>
      </c>
      <c r="AC104" s="231">
        <f>IF(V104&lt;&gt;"",W104*3+X104*1,"")</f>
        <v>0</v>
      </c>
      <c r="AD104" s="231">
        <f>IF(V104&lt;&gt;"",VLOOKUP(V104,C$4:I$52,7,FALSE),"")</f>
        <v>1000</v>
      </c>
      <c r="AE104" s="231">
        <f>IF(V104&lt;&gt;"",VLOOKUP(V104,C$4:I$52,5,FALSE),"")</f>
        <v>0</v>
      </c>
      <c r="AF104" s="231">
        <f>IF(V104&lt;&gt;"",VLOOKUP(V104,C$4:K$52,9,FALSE),"")</f>
        <v>-140</v>
      </c>
      <c r="AG104" s="231">
        <f>AC104</f>
        <v>0</v>
      </c>
      <c r="AH104" s="231">
        <f>IF(V104&lt;&gt;"",RANK(AG104,AG104:AG107),"")</f>
        <v>1</v>
      </c>
      <c r="AI104" s="231">
        <f>IF(V104&lt;&gt;"",SUMPRODUCT((AG104:AG107=AG104)*(AB104:AB107&gt;AB104)),"")</f>
        <v>0</v>
      </c>
      <c r="AJ104" s="231">
        <f>IF(V104&lt;&gt;"",SUMPRODUCT((AG104:AG107=AG104)*(AB104:AB107=AB104)*(Z104:Z107&gt;Z104)),"")</f>
        <v>0</v>
      </c>
      <c r="AK104" s="231">
        <f>IF(V104&lt;&gt;"",SUMPRODUCT((AG104:AG107=AG104)*(AB104:AB107=AB104)*(Z104:Z107=Z104)*(AD104:AD107&gt;AD104)),"")</f>
        <v>0</v>
      </c>
      <c r="AL104" s="231">
        <f>IF(V104&lt;&gt;"",SUMPRODUCT((AG104:AG107=AG104)*(AB104:AB107=AB104)*(Z104:Z107=Z104)*(AD104:AD107=AD104)*(AE104:AE107&gt;AE104)),"")</f>
        <v>0</v>
      </c>
      <c r="AM104" s="231">
        <f>IF(V104&lt;&gt;"",SUMPRODUCT((AG104:AG107=AG104)*(AB104:AB107=AB104)*(Z104:Z107=Z104)*(AD104:AD107=AD104)*(AE104:AE107=AE104)*(AF104:AF107&gt;AF104)),"")</f>
        <v>3</v>
      </c>
      <c r="AN104" s="231">
        <f>IF(V104&lt;&gt;"",SUM(AH104:AM104),"")</f>
        <v>4</v>
      </c>
      <c r="DS104" s="233" t="str">
        <f>Matches!M93</f>
        <v>Match 77 Winner</v>
      </c>
      <c r="DU104" s="233" t="str">
        <f>IF(ISERROR("Calculator!"&amp;VLOOKUP(DS104,Calculator!$DS$7:$DT$54,2,FALSE)),"Calculator!dr77","Calculator!"&amp;VLOOKUP(DS104,Calculator!$DS$7:$DT$54,2,FALSE))</f>
        <v>Calculator!dr77</v>
      </c>
      <c r="DX104" s="230"/>
      <c r="DY104" s="243">
        <v>97</v>
      </c>
      <c r="DZ104" s="244">
        <f t="shared" si="158"/>
        <v>46212.666666666664</v>
      </c>
      <c r="EA104" s="247">
        <v>46212.666666666664</v>
      </c>
      <c r="EB104" s="246">
        <f t="shared" ref="EB104:EB111" si="183">EA104+TimeZoneData/24</f>
        <v>46212.666666666664</v>
      </c>
      <c r="EC104" s="230"/>
    </row>
    <row r="105" spans="10:133" x14ac:dyDescent="0.25">
      <c r="J105" s="231">
        <f>IF(COUNTIF(J$25:J$28,4)=4,1,SUMPRODUCT((J$25:J$28=J26)*(I$25:I$28=I26)*(G$25:G$28&gt;G26))+1)</f>
        <v>1</v>
      </c>
      <c r="U105" s="231">
        <f>IF(V26&lt;&gt;"",SUMPRODUCT((AC25:AC28=AC26)*(AB25:AB28=AB26)*(Z25:Z28=Z26)*(AA25:AA28=AA26)),"")</f>
        <v>4</v>
      </c>
      <c r="V105" s="231" t="str">
        <f>IF(AND(U105&lt;&gt;"",U105&gt;1),V26,"")</f>
        <v>Australia</v>
      </c>
      <c r="W105" s="231">
        <f>SUMPRODUCT((DA$3:DA$105=V105)*(DD$3:DD$105=V106)*(DE$3:DE$105="W"))+SUMPRODUCT((DA$3:DA$105=V105)*(DD$3:DD$105=V107)*(DE$3:DE$105="W"))+SUMPRODUCT((DA$3:DA$105=V105)*(DD$3:DD$105=V108)*(DE$3:DE$105="W"))+SUMPRODUCT((DA$3:DA$105=V105)*(DD$3:DD$105=V104)*(DE$3:DE$105="W"))+SUMPRODUCT((DA$3:DA$105=V106)*(DD$3:DD$105=V105)*(DF$3:DF$105="W"))+SUMPRODUCT((DA$3:DA$105=V107)*(DD$3:DD$105=V105)*(DF$3:DF$105="W"))+SUMPRODUCT((DA$3:DA$105=V108)*(DD$3:DD$105=V105)*(DF$3:DF$105="W"))+SUMPRODUCT((DA$3:DA$105=V104)*(DD$3:DD$105=V105)*(DF$3:DF$105="W"))</f>
        <v>0</v>
      </c>
      <c r="X105" s="231">
        <f>SUMPRODUCT((DA$3:DA$105=V105)*(DD$3:DD$105=V106)*(DE$3:DE$105="D"))+SUMPRODUCT((DA$3:DA$105=V105)*(DD$3:DD$105=V107)*(DE$3:DE$105="D"))+SUMPRODUCT((DA$3:DA$105=V105)*(DD$3:DD$105=V108)*(DE$3:DE$105="D"))+SUMPRODUCT((DA$3:DA$105=V105)*(DD$3:DD$105=V104)*(DE$3:DE$105="D"))+SUMPRODUCT((DA$3:DA$105=V106)*(DD$3:DD$105=V105)*(DE$3:DE$105="D"))+SUMPRODUCT((DA$3:DA$105=V107)*(DD$3:DD$105=V105)*(DE$3:DE$105="D"))+SUMPRODUCT((DA$3:DA$105=V108)*(DD$3:DD$105=V105)*(DE$3:DE$105="D"))+SUMPRODUCT((DA$3:DA$105=V104)*(DD$3:DD$105=V105)*(DE$3:DE$105="D"))</f>
        <v>0</v>
      </c>
      <c r="Y105" s="231">
        <f>SUMPRODUCT((DA$3:DA$105=V105)*(DD$3:DD$105=V106)*(DE$3:DE$105="L"))+SUMPRODUCT((DA$3:DA$105=V105)*(DD$3:DD$105=V107)*(DE$3:DE$105="L"))+SUMPRODUCT((DA$3:DA$105=V105)*(DD$3:DD$105=V108)*(DE$3:DE$105="L"))+SUMPRODUCT((DA$3:DA$105=V105)*(DD$3:DD$105=V104)*(DE$3:DE$105="L"))+SUMPRODUCT((DA$3:DA$105=V106)*(DD$3:DD$105=V105)*(DF$3:DF$105="L"))+SUMPRODUCT((DA$3:DA$105=V107)*(DD$3:DD$105=V105)*(DF$3:DF$105="L"))+SUMPRODUCT((DA$3:DA$105=V108)*(DD$3:DD$105=V105)*(DF$3:DF$105="L"))+SUMPRODUCT((DA$3:DA$105=V104)*(DD$3:DD$105=V105)*(DF$3:DF$105="L"))</f>
        <v>0</v>
      </c>
      <c r="Z105" s="231">
        <f>SUMPRODUCT((DA$3:DA$105=V105)*(DD$3:DD$105=V106)*DB$3:DB$105)+SUMPRODUCT((DA$3:DA$105=V105)*(DD$3:DD$105=V107)*DB$3:DB$105)+SUMPRODUCT((DA$3:DA$105=V105)*(DD$3:DD$105=V108)*DB$3:DB$105)+SUMPRODUCT((DA$3:DA$105=V105)*(DD$3:DD$105=V104)*DB$3:DB$105)+SUMPRODUCT((DA$3:DA$105=V106)*(DD$3:DD$105=V105)*DC$3:DC$105)+SUMPRODUCT((DA$3:DA$105=V107)*(DD$3:DD$105=V105)*DC$3:DC$105)+SUMPRODUCT((DA$3:DA$105=V108)*(DD$3:DD$105=V105)*DC$3:DC$105)+SUMPRODUCT((DA$3:DA$105=V104)*(DD$3:DD$105=V105)*DC$3:DC$105)</f>
        <v>0</v>
      </c>
      <c r="AA105" s="231">
        <f>SUMPRODUCT((DA$3:DA$105=V105)*(DD$3:DD$105=V106)*DC$3:DC$105)+SUMPRODUCT((DA$3:DA$105=V105)*(DD$3:DD$105=V107)*DC$3:DC$105)+SUMPRODUCT((DA$3:DA$105=V105)*(DD$3:DD$105=V108)*DC$3:DC$105)+SUMPRODUCT((DA$3:DA$105=V105)*(DD$3:DD$105=V104)*DC$3:DC$105)+SUMPRODUCT((DA$3:DA$105=V106)*(DD$3:DD$105=V105)*DB$3:DB$105)+SUMPRODUCT((DA$3:DA$105=V107)*(DD$3:DD$105=V105)*DB$3:DB$105)+SUMPRODUCT((DA$3:DA$105=V108)*(DD$3:DD$105=V105)*DB$3:DB$105)+SUMPRODUCT((DA$3:DA$105=V104)*(DD$3:DD$105=V105)*DB$3:DB$105)</f>
        <v>0</v>
      </c>
      <c r="AB105" s="231">
        <f>Z105-AA105+1000</f>
        <v>1000</v>
      </c>
      <c r="AC105" s="231">
        <f t="shared" ref="AC105:AC107" si="184">IF(V105&lt;&gt;"",W105*3+X105*1,"")</f>
        <v>0</v>
      </c>
      <c r="AD105" s="231">
        <f>IF(V105&lt;&gt;"",VLOOKUP(V105,C$4:I$52,7,FALSE),"")</f>
        <v>1000</v>
      </c>
      <c r="AE105" s="231">
        <f>IF(V105&lt;&gt;"",VLOOKUP(V105,C$4:I$52,5,FALSE),"")</f>
        <v>0</v>
      </c>
      <c r="AF105" s="231">
        <f>IF(V105&lt;&gt;"",VLOOKUP(V105,C$4:K$52,9,FALSE),"")</f>
        <v>-127</v>
      </c>
      <c r="AG105" s="231">
        <f t="shared" ref="AG105:AG107" si="185">AC105</f>
        <v>0</v>
      </c>
      <c r="AH105" s="231">
        <f>IF(V105&lt;&gt;"",RANK(AG105,AG104:AG107),"")</f>
        <v>1</v>
      </c>
      <c r="AI105" s="231">
        <f>IF(V105&lt;&gt;"",SUMPRODUCT((AG104:AG107=AG105)*(AB104:AB107&gt;AB105)),"")</f>
        <v>0</v>
      </c>
      <c r="AJ105" s="231">
        <f>IF(V105&lt;&gt;"",SUMPRODUCT((AG104:AG107=AG105)*(AB104:AB107=AB105)*(Z104:Z107&gt;Z105)),"")</f>
        <v>0</v>
      </c>
      <c r="AK105" s="231">
        <f>IF(V105&lt;&gt;"",SUMPRODUCT((AG104:AG107=AG105)*(AB104:AB107=AB105)*(Z104:Z107=Z105)*(AD104:AD107&gt;AD105)),"")</f>
        <v>0</v>
      </c>
      <c r="AL105" s="231">
        <f>IF(V105&lt;&gt;"",SUMPRODUCT((AG104:AG107=AG105)*(AB104:AB107=AB105)*(Z104:Z107=Z105)*(AD104:AD107=AD105)*(AE104:AE107&gt;AE105)),"")</f>
        <v>0</v>
      </c>
      <c r="AM105" s="231">
        <f>IF(V105&lt;&gt;"",SUMPRODUCT((AG104:AG107=AG105)*(AB104:AB107=AB105)*(Z104:Z107=Z105)*(AD104:AD107=AD105)*(AE104:AE107=AE105)*(AF104:AF107&gt;AF105)),"")</f>
        <v>2</v>
      </c>
      <c r="AN105" s="231">
        <f>IF(V105&lt;&gt;"",SUM(AH105:AM105),"")</f>
        <v>3</v>
      </c>
      <c r="AO105" s="231" t="str">
        <f>IF(AP26&lt;&gt;"",SUMPRODUCT((AW25:AW28=AW26)*(AV25:AV28=AV26)*(AT25:AT28=AT26)*(AU25:AU28=AU26)),"")</f>
        <v/>
      </c>
      <c r="AP105" s="231" t="str">
        <f>IF(AND(AO105&lt;&gt;"",AO105&gt;1),AP26,"")</f>
        <v/>
      </c>
      <c r="AQ105" s="231">
        <f>SUMPRODUCT((DA$3:DA$105=AP105)*(DD$3:DD$105=AP106)*(DE$3:DE$105="W"))+SUMPRODUCT((DA$3:DA$105=AP105)*(DD$3:DD$105=AP107)*(DE$3:DE$105="W"))+SUMPRODUCT((DA$3:DA$105=AP105)*(DD$3:DD$105=AP108)*(DE$3:DE$105="W"))+SUMPRODUCT((DA$3:DA$105=AP106)*(DD$3:DD$105=AP105)*(DF$3:DF$105="W"))+SUMPRODUCT((DA$3:DA$105=AP107)*(DD$3:DD$105=AP105)*(DF$3:DF$105="W"))+SUMPRODUCT((DA$3:DA$105=AP108)*(DD$3:DD$105=AP105)*(DF$3:DF$105="W"))</f>
        <v>0</v>
      </c>
      <c r="AR105" s="231">
        <f>SUMPRODUCT((DA$3:DA$105=AP105)*(DD$3:DD$105=AP106)*(DE$3:DE$105="D"))+SUMPRODUCT((DA$3:DA$105=AP105)*(DD$3:DD$105=AP107)*(DE$3:DE$105="D"))+SUMPRODUCT((DA$3:DA$105=AP105)*(DD$3:DD$105=AP108)*(DE$3:DE$105="D"))+SUMPRODUCT((DA$3:DA$105=AP106)*(DD$3:DD$105=AP105)*(DE$3:DE$105="D"))+SUMPRODUCT((DA$3:DA$105=AP107)*(DD$3:DD$105=AP105)*(DE$3:DE$105="D"))+SUMPRODUCT((DA$3:DA$105=AP108)*(DD$3:DD$105=AP105)*(DE$3:DE$105="D"))</f>
        <v>0</v>
      </c>
      <c r="AS105" s="231">
        <f>SUMPRODUCT((DA$3:DA$105=AP105)*(DD$3:DD$105=AP106)*(DE$3:DE$105="L"))+SUMPRODUCT((DA$3:DA$105=AP105)*(DD$3:DD$105=AP107)*(DE$3:DE$105="L"))+SUMPRODUCT((DA$3:DA$105=AP105)*(DD$3:DD$105=AP108)*(DE$3:DE$105="L"))+SUMPRODUCT((DA$3:DA$105=AP106)*(DD$3:DD$105=AP105)*(DF$3:DF$105="L"))+SUMPRODUCT((DA$3:DA$105=AP107)*(DD$3:DD$105=AP105)*(DF$3:DF$105="L"))+SUMPRODUCT((DA$3:DA$105=AP108)*(DD$3:DD$105=AP105)*(DF$3:DF$105="L"))</f>
        <v>0</v>
      </c>
      <c r="AT105" s="231">
        <f>SUMPRODUCT((DA$3:DA$105=AP105)*(DD$3:DD$105=AP106)*DB$3:DB$105)+SUMPRODUCT((DA$3:DA$105=AP105)*(DD$3:DD$105=AP107)*DB$3:DB$105)+SUMPRODUCT((DA$3:DA$105=AP105)*(DD$3:DD$105=AP108)*DB$3:DB$105)+SUMPRODUCT((DA$3:DA$105=AP105)*(DD$3:DD$105=AP104)*DB$3:DB$105)+SUMPRODUCT((DA$3:DA$105=AP106)*(DD$3:DD$105=AP105)*DC$3:DC$105)+SUMPRODUCT((DA$3:DA$105=AP107)*(DD$3:DD$105=AP105)*DC$3:DC$105)+SUMPRODUCT((DA$3:DA$105=AP108)*(DD$3:DD$105=AP105)*DC$3:DC$105)+SUMPRODUCT((DA$3:DA$105=AP104)*(DD$3:DD$105=AP105)*DC$3:DC$105)</f>
        <v>0</v>
      </c>
      <c r="AU105" s="231">
        <f>SUMPRODUCT((DA$3:DA$105=AP105)*(DD$3:DD$105=AP106)*DC$3:DC$105)+SUMPRODUCT((DA$3:DA$105=AP105)*(DD$3:DD$105=AP107)*DC$3:DC$105)+SUMPRODUCT((DA$3:DA$105=AP105)*(DD$3:DD$105=AP108)*DC$3:DC$105)+SUMPRODUCT((DA$3:DA$105=AP105)*(DD$3:DD$105=AP104)*DC$3:DC$105)+SUMPRODUCT((DA$3:DA$105=AP106)*(DD$3:DD$105=AP105)*DB$3:DB$105)+SUMPRODUCT((DA$3:DA$105=AP107)*(DD$3:DD$105=AP105)*DB$3:DB$105)+SUMPRODUCT((DA$3:DA$105=AP108)*(DD$3:DD$105=AP105)*DB$3:DB$105)+SUMPRODUCT((DA$3:DA$105=AP104)*(DD$3:DD$105=AP105)*DB$3:DB$105)</f>
        <v>0</v>
      </c>
      <c r="AV105" s="231">
        <f>AT105-AU105+1000</f>
        <v>1000</v>
      </c>
      <c r="AW105" s="231" t="str">
        <f t="shared" ref="AW105:AW107" si="186">IF(AP105&lt;&gt;"",AQ105*3+AR105*1,"")</f>
        <v/>
      </c>
      <c r="AX105" s="231" t="str">
        <f>IF(AP105&lt;&gt;"",VLOOKUP(AP105,C$4:I$52,7,FALSE),"")</f>
        <v/>
      </c>
      <c r="AY105" s="231" t="str">
        <f>IF(AP105&lt;&gt;"",VLOOKUP(AP105,C$4:I$52,5,FALSE),"")</f>
        <v/>
      </c>
      <c r="AZ105" s="231" t="str">
        <f>IF(AP105&lt;&gt;"",VLOOKUP(AP105,C$4:K$52,9,FALSE),"")</f>
        <v/>
      </c>
      <c r="BA105" s="231" t="str">
        <f t="shared" ref="BA105:BA107" si="187">AW105</f>
        <v/>
      </c>
      <c r="BB105" s="231" t="str">
        <f>IF(AP105&lt;&gt;"",RANK(BA105,BA104:BA107),"")</f>
        <v/>
      </c>
      <c r="BC105" s="231" t="str">
        <f>IF(AP105&lt;&gt;"",SUMPRODUCT((BA104:BA107=BA105)*(AV104:AV107&gt;AV105)),"")</f>
        <v/>
      </c>
      <c r="BD105" s="231" t="str">
        <f>IF(AP105&lt;&gt;"",SUMPRODUCT((BA104:BA107=BA105)*(AV104:AV107=AV105)*(AT104:AT107&gt;AT105)),"")</f>
        <v/>
      </c>
      <c r="BE105" s="231" t="str">
        <f>IF(AP105&lt;&gt;"",SUMPRODUCT((BA104:BA107=BA105)*(AV104:AV107=AV105)*(AT104:AT107=AT105)*(AX104:AX107&gt;AX105)),"")</f>
        <v/>
      </c>
      <c r="BF105" s="231" t="str">
        <f>IF(AP105&lt;&gt;"",SUMPRODUCT((BA104:BA107=BA105)*(AV104:AV107=AV105)*(AT104:AT107=AT105)*(AX104:AX107=AX105)*(AY104:AY107&gt;AY105)),"")</f>
        <v/>
      </c>
      <c r="BG105" s="231" t="str">
        <f>IF(AP105&lt;&gt;"",SUMPRODUCT((BA104:BA107=BA105)*(AV104:AV107=AV105)*(AT104:AT107=AT105)*(AX104:AX107=AX105)*(AY104:AY107=AY105)*(AZ104:AZ107&gt;AZ105)),"")</f>
        <v/>
      </c>
      <c r="BH105" s="231" t="str">
        <f>IF(AP105&lt;&gt;"",SUM(BB105:BG105)+1,"")</f>
        <v/>
      </c>
      <c r="DS105" s="233" t="str">
        <f>Matches!M94</f>
        <v>Match 75 Winner</v>
      </c>
      <c r="DU105" s="233" t="str">
        <f>IF(ISERROR("Calculator!"&amp;VLOOKUP(DS105,Calculator!$DS$7:$DT$54,2,FALSE)),"Calculator!dr77","Calculator!"&amp;VLOOKUP(DS105,Calculator!$DS$7:$DT$54,2,FALSE))</f>
        <v>Calculator!dr77</v>
      </c>
      <c r="DX105" s="230"/>
      <c r="DY105" s="243">
        <v>98</v>
      </c>
      <c r="DZ105" s="244">
        <f t="shared" si="158"/>
        <v>46213.625</v>
      </c>
      <c r="EA105" s="247">
        <v>46213.625</v>
      </c>
      <c r="EB105" s="246">
        <f t="shared" si="183"/>
        <v>46213.625</v>
      </c>
      <c r="EC105" s="230"/>
    </row>
    <row r="106" spans="10:133" x14ac:dyDescent="0.25">
      <c r="J106" s="231">
        <f>IF(COUNTIF(J$25:J$28,4)=4,1,SUMPRODUCT((J$25:J$28=J27)*(I$25:I$28=I27)*(G$25:G$28&gt;G27))+1)</f>
        <v>1</v>
      </c>
      <c r="U106" s="231">
        <f>IF(V27&lt;&gt;"",SUMPRODUCT((AC25:AC28=AC27)*(AB25:AB28=AB27)*(Z25:Z28=Z27)*(AA25:AA28=AA27)),"")</f>
        <v>4</v>
      </c>
      <c r="V106" s="231" t="str">
        <f>IF(AND(U106&lt;&gt;"",U106&gt;1),V27,"")</f>
        <v>Türkiye</v>
      </c>
      <c r="W106" s="231">
        <f>SUMPRODUCT((DA$3:DA$105=V106)*(DD$3:DD$105=V107)*(DE$3:DE$105="W"))+SUMPRODUCT((DA$3:DA$105=V106)*(DD$3:DD$105=V108)*(DE$3:DE$105="W"))+SUMPRODUCT((DA$3:DA$105=V106)*(DD$3:DD$105=V104)*(DE$3:DE$105="W"))+SUMPRODUCT((DA$3:DA$105=V106)*(DD$3:DD$105=V105)*(DE$3:DE$105="W"))+SUMPRODUCT((DA$3:DA$105=V107)*(DD$3:DD$105=V106)*(DF$3:DF$105="W"))+SUMPRODUCT((DA$3:DA$105=V108)*(DD$3:DD$105=V106)*(DF$3:DF$105="W"))+SUMPRODUCT((DA$3:DA$105=V104)*(DD$3:DD$105=V106)*(DF$3:DF$105="W"))+SUMPRODUCT((DA$3:DA$105=V105)*(DD$3:DD$105=V106)*(DF$3:DF$105="W"))</f>
        <v>0</v>
      </c>
      <c r="X106" s="231">
        <f>SUMPRODUCT((DA$3:DA$105=V106)*(DD$3:DD$105=V107)*(DE$3:DE$105="D"))+SUMPRODUCT((DA$3:DA$105=V106)*(DD$3:DD$105=V108)*(DE$3:DE$105="D"))+SUMPRODUCT((DA$3:DA$105=V106)*(DD$3:DD$105=V104)*(DE$3:DE$105="D"))+SUMPRODUCT((DA$3:DA$105=V106)*(DD$3:DD$105=V105)*(DE$3:DE$105="D"))+SUMPRODUCT((DA$3:DA$105=V107)*(DD$3:DD$105=V106)*(DE$3:DE$105="D"))+SUMPRODUCT((DA$3:DA$105=V108)*(DD$3:DD$105=V106)*(DE$3:DE$105="D"))+SUMPRODUCT((DA$3:DA$105=V104)*(DD$3:DD$105=V106)*(DE$3:DE$105="D"))+SUMPRODUCT((DA$3:DA$105=V105)*(DD$3:DD$105=V106)*(DE$3:DE$105="D"))</f>
        <v>0</v>
      </c>
      <c r="Y106" s="231">
        <f>SUMPRODUCT((DA$3:DA$105=V106)*(DD$3:DD$105=V107)*(DE$3:DE$105="L"))+SUMPRODUCT((DA$3:DA$105=V106)*(DD$3:DD$105=V108)*(DE$3:DE$105="L"))+SUMPRODUCT((DA$3:DA$105=V106)*(DD$3:DD$105=V104)*(DE$3:DE$105="L"))+SUMPRODUCT((DA$3:DA$105=V106)*(DD$3:DD$105=V105)*(DE$3:DE$105="L"))+SUMPRODUCT((DA$3:DA$105=V107)*(DD$3:DD$105=V106)*(DF$3:DF$105="L"))+SUMPRODUCT((DA$3:DA$105=V108)*(DD$3:DD$105=V106)*(DF$3:DF$105="L"))+SUMPRODUCT((DA$3:DA$105=V104)*(DD$3:DD$105=V106)*(DF$3:DF$105="L"))+SUMPRODUCT((DA$3:DA$105=V105)*(DD$3:DD$105=V106)*(DF$3:DF$105="L"))</f>
        <v>0</v>
      </c>
      <c r="Z106" s="231">
        <f>SUMPRODUCT((DA$3:DA$105=V106)*(DD$3:DD$105=V107)*DB$3:DB$105)+SUMPRODUCT((DA$3:DA$105=V106)*(DD$3:DD$105=V108)*DB$3:DB$105)+SUMPRODUCT((DA$3:DA$105=V106)*(DD$3:DD$105=V104)*DB$3:DB$105)+SUMPRODUCT((DA$3:DA$105=V106)*(DD$3:DD$105=V105)*DB$3:DB$105)+SUMPRODUCT((DA$3:DA$105=V107)*(DD$3:DD$105=V106)*DC$3:DC$105)+SUMPRODUCT((DA$3:DA$105=V108)*(DD$3:DD$105=V106)*DC$3:DC$105)+SUMPRODUCT((DA$3:DA$105=V104)*(DD$3:DD$105=V106)*DC$3:DC$105)+SUMPRODUCT((DA$3:DA$105=V105)*(DD$3:DD$105=V106)*DC$3:DC$105)</f>
        <v>0</v>
      </c>
      <c r="AA106" s="231">
        <f>SUMPRODUCT((DA$3:DA$105=V106)*(DD$3:DD$105=V107)*DC$3:DC$105)+SUMPRODUCT((DA$3:DA$105=V106)*(DD$3:DD$105=V108)*DC$3:DC$105)+SUMPRODUCT((DA$3:DA$105=V106)*(DD$3:DD$105=V104)*DC$3:DC$105)+SUMPRODUCT((DA$3:DA$105=V106)*(DD$3:DD$105=V105)*DC$3:DC$105)+SUMPRODUCT((DA$3:DA$105=V107)*(DD$3:DD$105=V106)*DB$3:DB$105)+SUMPRODUCT((DA$3:DA$105=V108)*(DD$3:DD$105=V106)*DB$3:DB$105)+SUMPRODUCT((DA$3:DA$105=V104)*(DD$3:DD$105=V106)*DB$3:DB$105)+SUMPRODUCT((DA$3:DA$105=V105)*(DD$3:DD$105=V106)*DB$3:DB$105)</f>
        <v>0</v>
      </c>
      <c r="AB106" s="231">
        <f>Z106-AA106+1000</f>
        <v>1000</v>
      </c>
      <c r="AC106" s="231">
        <f t="shared" si="184"/>
        <v>0</v>
      </c>
      <c r="AD106" s="231">
        <f>IF(V106&lt;&gt;"",VLOOKUP(V106,C$4:I$52,7,FALSE),"")</f>
        <v>1000</v>
      </c>
      <c r="AE106" s="231">
        <f>IF(V106&lt;&gt;"",VLOOKUP(V106,C$4:I$52,5,FALSE),"")</f>
        <v>0</v>
      </c>
      <c r="AF106" s="231">
        <f>IF(V106&lt;&gt;"",VLOOKUP(V106,C$4:K$52,9,FALSE),"")</f>
        <v>-125</v>
      </c>
      <c r="AG106" s="231">
        <f t="shared" si="185"/>
        <v>0</v>
      </c>
      <c r="AH106" s="231">
        <f>IF(V106&lt;&gt;"",RANK(AG106,AG104:AG107),"")</f>
        <v>1</v>
      </c>
      <c r="AI106" s="231">
        <f>IF(V106&lt;&gt;"",SUMPRODUCT((AG104:AG107=AG106)*(AB104:AB107&gt;AB106)),"")</f>
        <v>0</v>
      </c>
      <c r="AJ106" s="231">
        <f>IF(V106&lt;&gt;"",SUMPRODUCT((AG104:AG107=AG106)*(AB104:AB107=AB106)*(Z104:Z107&gt;Z106)),"")</f>
        <v>0</v>
      </c>
      <c r="AK106" s="231">
        <f>IF(V106&lt;&gt;"",SUMPRODUCT((AG104:AG107=AG106)*(AB104:AB107=AB106)*(Z104:Z107=Z106)*(AD104:AD107&gt;AD106)),"")</f>
        <v>0</v>
      </c>
      <c r="AL106" s="231">
        <f>IF(V106&lt;&gt;"",SUMPRODUCT((AG104:AG107=AG106)*(AB104:AB107=AB106)*(Z104:Z107=Z106)*(AD104:AD107=AD106)*(AE104:AE107&gt;AE106)),"")</f>
        <v>0</v>
      </c>
      <c r="AM106" s="231">
        <f>IF(V106&lt;&gt;"",SUMPRODUCT((AG104:AG107=AG106)*(AB104:AB107=AB106)*(Z104:Z107=Z106)*(AD104:AD107=AD106)*(AE104:AE107=AE106)*(AF104:AF107&gt;AF106)),"")</f>
        <v>1</v>
      </c>
      <c r="AN106" s="231">
        <f>IF(V106&lt;&gt;"",SUM(AH106:AM106),"")</f>
        <v>2</v>
      </c>
      <c r="AO106" s="231" t="str">
        <f>IF(AP27&lt;&gt;"",SUMPRODUCT((AW25:AW28=AW27)*(AV25:AV28=AV27)*(AT25:AT28=AT27)*(AU25:AU28=AU27)),"")</f>
        <v/>
      </c>
      <c r="AP106" s="231" t="str">
        <f>IF(AND(AO106&lt;&gt;"",AO106&gt;1),AP27,"")</f>
        <v/>
      </c>
      <c r="AQ106" s="231">
        <f>SUMPRODUCT((DA$3:DA$105=AP106)*(DD$3:DD$105=AP107)*(DE$3:DE$105="W"))+SUMPRODUCT((DA$3:DA$105=AP106)*(DD$3:DD$105=AP108)*(DE$3:DE$105="W"))+SUMPRODUCT((DA$3:DA$105=AP106)*(DD$3:DD$105=AP105)*(DE$3:DE$105="W"))+SUMPRODUCT((DA$3:DA$105=AP107)*(DD$3:DD$105=AP106)*(DF$3:DF$105="W"))+SUMPRODUCT((DA$3:DA$105=AP108)*(DD$3:DD$105=AP106)*(DF$3:DF$105="W"))+SUMPRODUCT((DA$3:DA$105=AP105)*(DD$3:DD$105=AP106)*(DF$3:DF$105="W"))</f>
        <v>0</v>
      </c>
      <c r="AR106" s="231">
        <f>SUMPRODUCT((DA$3:DA$105=AP106)*(DD$3:DD$105=AP107)*(DE$3:DE$105="D"))+SUMPRODUCT((DA$3:DA$105=AP106)*(DD$3:DD$105=AP108)*(DE$3:DE$105="D"))+SUMPRODUCT((DA$3:DA$105=AP106)*(DD$3:DD$105=AP105)*(DE$3:DE$105="D"))+SUMPRODUCT((DA$3:DA$105=AP107)*(DD$3:DD$105=AP106)*(DE$3:DE$105="D"))+SUMPRODUCT((DA$3:DA$105=AP108)*(DD$3:DD$105=AP106)*(DE$3:DE$105="D"))+SUMPRODUCT((DA$3:DA$105=AP105)*(DD$3:DD$105=AP106)*(DE$3:DE$105="D"))</f>
        <v>0</v>
      </c>
      <c r="AS106" s="231">
        <f>SUMPRODUCT((DA$3:DA$105=AP106)*(DD$3:DD$105=AP107)*(DE$3:DE$105="L"))+SUMPRODUCT((DA$3:DA$105=AP106)*(DD$3:DD$105=AP108)*(DE$3:DE$105="L"))+SUMPRODUCT((DA$3:DA$105=AP106)*(DD$3:DD$105=AP105)*(DE$3:DE$105="L"))+SUMPRODUCT((DA$3:DA$105=AP107)*(DD$3:DD$105=AP106)*(DF$3:DF$105="L"))+SUMPRODUCT((DA$3:DA$105=AP108)*(DD$3:DD$105=AP106)*(DF$3:DF$105="L"))+SUMPRODUCT((DA$3:DA$105=AP105)*(DD$3:DD$105=AP106)*(DF$3:DF$105="L"))</f>
        <v>0</v>
      </c>
      <c r="AT106" s="231">
        <f>SUMPRODUCT((DA$3:DA$105=AP106)*(DD$3:DD$105=AP107)*DB$3:DB$105)+SUMPRODUCT((DA$3:DA$105=AP106)*(DD$3:DD$105=AP108)*DB$3:DB$105)+SUMPRODUCT((DA$3:DA$105=AP106)*(DD$3:DD$105=AP104)*DB$3:DB$105)+SUMPRODUCT((DA$3:DA$105=AP106)*(DD$3:DD$105=AP105)*DB$3:DB$105)+SUMPRODUCT((DA$3:DA$105=AP107)*(DD$3:DD$105=AP106)*DC$3:DC$105)+SUMPRODUCT((DA$3:DA$105=AP108)*(DD$3:DD$105=AP106)*DC$3:DC$105)+SUMPRODUCT((DA$3:DA$105=AP104)*(DD$3:DD$105=AP106)*DC$3:DC$105)+SUMPRODUCT((DA$3:DA$105=AP105)*(DD$3:DD$105=AP106)*DC$3:DC$105)</f>
        <v>0</v>
      </c>
      <c r="AU106" s="231">
        <f>SUMPRODUCT((DA$3:DA$105=AP106)*(DD$3:DD$105=AP107)*DC$3:DC$105)+SUMPRODUCT((DA$3:DA$105=AP106)*(DD$3:DD$105=AP108)*DC$3:DC$105)+SUMPRODUCT((DA$3:DA$105=AP106)*(DD$3:DD$105=AP104)*DC$3:DC$105)+SUMPRODUCT((DA$3:DA$105=AP106)*(DD$3:DD$105=AP105)*DC$3:DC$105)+SUMPRODUCT((DA$3:DA$105=AP107)*(DD$3:DD$105=AP106)*DB$3:DB$105)+SUMPRODUCT((DA$3:DA$105=AP108)*(DD$3:DD$105=AP106)*DB$3:DB$105)+SUMPRODUCT((DA$3:DA$105=AP104)*(DD$3:DD$105=AP106)*DB$3:DB$105)+SUMPRODUCT((DA$3:DA$105=AP105)*(DD$3:DD$105=AP106)*DB$3:DB$105)</f>
        <v>0</v>
      </c>
      <c r="AV106" s="231">
        <f>AT106-AU106+1000</f>
        <v>1000</v>
      </c>
      <c r="AW106" s="231" t="str">
        <f t="shared" si="186"/>
        <v/>
      </c>
      <c r="AX106" s="231" t="str">
        <f>IF(AP106&lt;&gt;"",VLOOKUP(AP106,C$4:I$52,7,FALSE),"")</f>
        <v/>
      </c>
      <c r="AY106" s="231" t="str">
        <f>IF(AP106&lt;&gt;"",VLOOKUP(AP106,C$4:I$52,5,FALSE),"")</f>
        <v/>
      </c>
      <c r="AZ106" s="231" t="str">
        <f>IF(AP106&lt;&gt;"",VLOOKUP(AP106,C$4:K$52,9,FALSE),"")</f>
        <v/>
      </c>
      <c r="BA106" s="231" t="str">
        <f t="shared" si="187"/>
        <v/>
      </c>
      <c r="BB106" s="231" t="str">
        <f>IF(AP106&lt;&gt;"",RANK(BA106,BA104:BA107),"")</f>
        <v/>
      </c>
      <c r="BC106" s="231" t="str">
        <f>IF(AP106&lt;&gt;"",SUMPRODUCT((BA104:BA107=BA106)*(AV104:AV107&gt;AV106)),"")</f>
        <v/>
      </c>
      <c r="BD106" s="231" t="str">
        <f>IF(AP106&lt;&gt;"",SUMPRODUCT((BA104:BA107=BA106)*(AV104:AV107=AV106)*(AT104:AT107&gt;AT106)),"")</f>
        <v/>
      </c>
      <c r="BE106" s="231" t="str">
        <f>IF(AP106&lt;&gt;"",SUMPRODUCT((BA104:BA107=BA106)*(AV104:AV107=AV106)*(AT104:AT107=AT106)*(AX104:AX107&gt;AX106)),"")</f>
        <v/>
      </c>
      <c r="BF106" s="231" t="str">
        <f>IF(AP106&lt;&gt;"",SUMPRODUCT((BA104:BA107=BA106)*(AV104:AV107=AV106)*(AT104:AT107=AT106)*(AX104:AX107=AX106)*(AY104:AY107&gt;AY106)),"")</f>
        <v/>
      </c>
      <c r="BG106" s="231" t="str">
        <f>IF(AP106&lt;&gt;"",SUMPRODUCT((BA104:BA107=BA106)*(AV104:AV107=AV106)*(AT104:AT107=AT106)*(AX104:AX107=AX106)*(AY104:AY107=AY106)*(AZ104:AZ107&gt;AZ106)),"")</f>
        <v/>
      </c>
      <c r="BH106" s="231" t="str">
        <f t="shared" ref="BH106:BH107" si="188">IF(AP106&lt;&gt;"",SUM(BB106:BG106)+1,"")</f>
        <v/>
      </c>
      <c r="DS106" s="233" t="str">
        <f>Matches!M95</f>
        <v>Match 78 Winner</v>
      </c>
      <c r="DU106" s="233" t="str">
        <f>IF(ISERROR("Calculator!"&amp;VLOOKUP(DS106,Calculator!$DS$7:$DT$54,2,FALSE)),"Calculator!dr77","Calculator!"&amp;VLOOKUP(DS106,Calculator!$DS$7:$DT$54,2,FALSE))</f>
        <v>Calculator!dr77</v>
      </c>
      <c r="DX106" s="230"/>
      <c r="DY106" s="243">
        <v>99</v>
      </c>
      <c r="DZ106" s="244">
        <f t="shared" si="158"/>
        <v>46214.708333333336</v>
      </c>
      <c r="EA106" s="247">
        <v>46214.708333333336</v>
      </c>
      <c r="EB106" s="246">
        <f t="shared" si="183"/>
        <v>46214.708333333336</v>
      </c>
      <c r="EC106" s="230"/>
    </row>
    <row r="107" spans="10:133" x14ac:dyDescent="0.25">
      <c r="J107" s="231">
        <f>IF(COUNTIF(J$25:J$28,4)=4,1,SUMPRODUCT((J$25:J$28=J28)*(I$25:I$28=I28)*(G$25:G$28&gt;G28))+1)</f>
        <v>1</v>
      </c>
      <c r="U107" s="231">
        <f>IF(V28&lt;&gt;"",SUMPRODUCT((AC25:AC28=AC28)*(AB25:AB28=AB28)*(Z25:Z28=Z28)*(AA25:AA28=AA28)),"")</f>
        <v>4</v>
      </c>
      <c r="V107" s="231" t="str">
        <f>IF(AND(U107&lt;&gt;"",U107&gt;1),V28,"")</f>
        <v>USA</v>
      </c>
      <c r="W107" s="231">
        <f>SUMPRODUCT((DA$3:DA$105=V107)*(DD$3:DD$105=V108)*(DE$3:DE$105="W"))+SUMPRODUCT((DA$3:DA$105=V107)*(DD$3:DD$105=V104)*(DE$3:DE$105="W"))+SUMPRODUCT((DA$3:DA$105=V107)*(DD$3:DD$105=V105)*(DE$3:DE$105="W"))+SUMPRODUCT((DA$3:DA$105=V107)*(DD$3:DD$105=V106)*(DE$3:DE$105="W"))+SUMPRODUCT((DA$3:DA$105=V108)*(DD$3:DD$105=V107)*(DF$3:DF$105="W"))+SUMPRODUCT((DA$3:DA$105=V104)*(DD$3:DD$105=V107)*(DF$3:DF$105="W"))+SUMPRODUCT((DA$3:DA$105=V105)*(DD$3:DD$105=V107)*(DF$3:DF$105="W"))+SUMPRODUCT((DA$3:DA$105=V106)*(DD$3:DD$105=V107)*(DF$3:DF$105="W"))</f>
        <v>0</v>
      </c>
      <c r="X107" s="231">
        <f>SUMPRODUCT((DA$3:DA$105=V107)*(DD$3:DD$105=V108)*(DE$3:DE$105="D"))+SUMPRODUCT((DA$3:DA$105=V107)*(DD$3:DD$105=V104)*(DE$3:DE$105="D"))+SUMPRODUCT((DA$3:DA$105=V107)*(DD$3:DD$105=V105)*(DE$3:DE$105="D"))+SUMPRODUCT((DA$3:DA$105=V107)*(DD$3:DD$105=V106)*(DE$3:DE$105="D"))+SUMPRODUCT((DA$3:DA$105=V108)*(DD$3:DD$105=V107)*(DE$3:DE$105="D"))+SUMPRODUCT((DA$3:DA$105=V104)*(DD$3:DD$105=V107)*(DE$3:DE$105="D"))+SUMPRODUCT((DA$3:DA$105=V105)*(DD$3:DD$105=V107)*(DE$3:DE$105="D"))+SUMPRODUCT((DA$3:DA$105=V106)*(DD$3:DD$105=V107)*(DE$3:DE$105="D"))</f>
        <v>0</v>
      </c>
      <c r="Y107" s="231">
        <f>SUMPRODUCT((DA$3:DA$105=V107)*(DD$3:DD$105=V108)*(DE$3:DE$105="L"))+SUMPRODUCT((DA$3:DA$105=V107)*(DD$3:DD$105=V104)*(DE$3:DE$105="L"))+SUMPRODUCT((DA$3:DA$105=V107)*(DD$3:DD$105=V105)*(DE$3:DE$105="L"))+SUMPRODUCT((DA$3:DA$105=V107)*(DD$3:DD$105=V106)*(DE$3:DE$105="L"))+SUMPRODUCT((DA$3:DA$105=V108)*(DD$3:DD$105=V107)*(DF$3:DF$105="L"))+SUMPRODUCT((DA$3:DA$105=V104)*(DD$3:DD$105=V107)*(DF$3:DF$105="L"))+SUMPRODUCT((DA$3:DA$105=V105)*(DD$3:DD$105=V107)*(DF$3:DF$105="L"))+SUMPRODUCT((DA$3:DA$105=V106)*(DD$3:DD$105=V107)*(DF$3:DF$105="L"))</f>
        <v>0</v>
      </c>
      <c r="Z107" s="231">
        <f>SUMPRODUCT((DA$3:DA$105=V107)*(DD$3:DD$105=V108)*DB$3:DB$105)+SUMPRODUCT((DA$3:DA$105=V107)*(DD$3:DD$105=V104)*DB$3:DB$105)+SUMPRODUCT((DA$3:DA$105=V107)*(DD$3:DD$105=V105)*DB$3:DB$105)+SUMPRODUCT((DA$3:DA$105=V107)*(DD$3:DD$105=V106)*DB$3:DB$105)+SUMPRODUCT((DA$3:DA$105=V108)*(DD$3:DD$105=V107)*DC$3:DC$105)+SUMPRODUCT((DA$3:DA$105=V104)*(DD$3:DD$105=V107)*DC$3:DC$105)+SUMPRODUCT((DA$3:DA$105=V105)*(DD$3:DD$105=V107)*DC$3:DC$105)+SUMPRODUCT((DA$3:DA$105=V106)*(DD$3:DD$105=V107)*DC$3:DC$105)</f>
        <v>0</v>
      </c>
      <c r="AA107" s="231">
        <f>SUMPRODUCT((DA$3:DA$105=V107)*(DD$3:DD$105=V108)*DC$3:DC$105)+SUMPRODUCT((DA$3:DA$105=V107)*(DD$3:DD$105=V104)*DC$3:DC$105)+SUMPRODUCT((DA$3:DA$105=V107)*(DD$3:DD$105=V105)*DC$3:DC$105)+SUMPRODUCT((DA$3:DA$105=V107)*(DD$3:DD$105=V106)*DC$3:DC$105)+SUMPRODUCT((DA$3:DA$105=V108)*(DD$3:DD$105=V107)*DB$3:DB$105)+SUMPRODUCT((DA$3:DA$105=V104)*(DD$3:DD$105=V107)*DB$3:DB$105)+SUMPRODUCT((DA$3:DA$105=V105)*(DD$3:DD$105=V107)*DB$3:DB$105)+SUMPRODUCT((DA$3:DA$105=V106)*(DD$3:DD$105=V107)*DB$3:DB$105)</f>
        <v>0</v>
      </c>
      <c r="AB107" s="231">
        <f>Z107-AA107+1000</f>
        <v>1000</v>
      </c>
      <c r="AC107" s="231">
        <f t="shared" si="184"/>
        <v>0</v>
      </c>
      <c r="AD107" s="231">
        <f>IF(V107&lt;&gt;"",VLOOKUP(V107,C$4:I$52,7,FALSE),"")</f>
        <v>1000</v>
      </c>
      <c r="AE107" s="231">
        <f>IF(V107&lt;&gt;"",VLOOKUP(V107,C$4:I$52,5,FALSE),"")</f>
        <v>0</v>
      </c>
      <c r="AF107" s="231">
        <f>IF(V107&lt;&gt;"",VLOOKUP(V107,C$4:K$52,9,FALSE),"")</f>
        <v>-115</v>
      </c>
      <c r="AG107" s="231">
        <f t="shared" si="185"/>
        <v>0</v>
      </c>
      <c r="AH107" s="231">
        <f>IF(V107&lt;&gt;"",RANK(AG107,AG104:AG107),"")</f>
        <v>1</v>
      </c>
      <c r="AI107" s="231">
        <f>IF(V107&lt;&gt;"",SUMPRODUCT((AG104:AG107=AG107)*(AB104:AB107&gt;AB107)),"")</f>
        <v>0</v>
      </c>
      <c r="AJ107" s="231">
        <f>IF(V107&lt;&gt;"",SUMPRODUCT((AG104:AG107=AG107)*(AB104:AB107=AB107)*(Z104:Z107&gt;Z107)),"")</f>
        <v>0</v>
      </c>
      <c r="AK107" s="231">
        <f>IF(V107&lt;&gt;"",SUMPRODUCT((AG104:AG107=AG107)*(AB104:AB107=AB107)*(Z104:Z107=Z107)*(AD104:AD107&gt;AD107)),"")</f>
        <v>0</v>
      </c>
      <c r="AL107" s="231">
        <f>IF(V107&lt;&gt;"",SUMPRODUCT((AG104:AG107=AG107)*(AB104:AB107=AB107)*(Z104:Z107=Z107)*(AD104:AD107=AD107)*(AE104:AE107&gt;AE107)),"")</f>
        <v>0</v>
      </c>
      <c r="AM107" s="231">
        <f>IF(V107&lt;&gt;"",SUMPRODUCT((AG104:AG107=AG107)*(AB104:AB107=AB107)*(Z104:Z107=Z107)*(AD104:AD107=AD107)*(AE104:AE107=AE107)*(AF104:AF107&gt;AF107)),"")</f>
        <v>0</v>
      </c>
      <c r="AN107" s="231">
        <f>IF(V107&lt;&gt;"",SUM(AH107:AM107),"")</f>
        <v>1</v>
      </c>
      <c r="AO107" s="231" t="str">
        <f>IF(AP28&lt;&gt;"",SUMPRODUCT((AW25:AW28=AW28)*(AV25:AV28=AV28)*(AT25:AT28=AT28)*(AU25:AU28=AU28)),"")</f>
        <v/>
      </c>
      <c r="AP107" s="231" t="str">
        <f>IF(AND(AO107&lt;&gt;"",AO107&gt;1),AP28,"")</f>
        <v/>
      </c>
      <c r="AQ107" s="231" t="str">
        <f>IF(AP107&lt;&gt;"",SUMPRODUCT((DA$3:DA$105=AP107)*(DD$3:DD$105=AP108)*(DE$3:DE$105="W"))+SUMPRODUCT((DA$3:DA$105=AP107)*(DD$3:DD$105=AP105)*(DE$3:DE$105="W"))+SUMPRODUCT((DA$3:DA$105=AP107)*(DD$3:DD$105=AP106)*(DE$3:DE$105="W"))+SUMPRODUCT((DA$3:DA$105=AP108)*(DD$3:DD$105=AP107)*(DF$3:DF$105="W"))+SUMPRODUCT((DA$3:DA$105=AP105)*(DD$3:DD$105=AP107)*(DF$3:DF$105="W"))+SUMPRODUCT((DA$3:DA$105=AP106)*(DD$3:DD$105=AP107)*(DF$3:DF$105="W")),"")</f>
        <v/>
      </c>
      <c r="AR107" s="231" t="str">
        <f>IF(AP107&lt;&gt;"",SUMPRODUCT((DA$3:DA$105=AP107)*(DD$3:DD$105=AP108)*(DE$3:DE$105="D"))+SUMPRODUCT((DA$3:DA$105=AP107)*(DD$3:DD$105=AP105)*(DE$3:DE$105="D"))+SUMPRODUCT((DA$3:DA$105=AP107)*(DD$3:DD$105=AP106)*(DE$3:DE$105="D"))+SUMPRODUCT((DA$3:DA$105=AP108)*(DD$3:DD$105=AP107)*(DE$3:DE$105="D"))+SUMPRODUCT((DA$3:DA$105=AP105)*(DD$3:DD$105=AP107)*(DE$3:DE$105="D"))+SUMPRODUCT((DA$3:DA$105=AP106)*(DD$3:DD$105=AP107)*(DE$3:DE$105="D")),"")</f>
        <v/>
      </c>
      <c r="AS107" s="231" t="str">
        <f>IF(AP107&lt;&gt;"",SUMPRODUCT((DA$3:DA$105=AP107)*(DD$3:DD$105=AP108)*(DE$3:DE$105="L"))+SUMPRODUCT((DA$3:DA$105=AP107)*(DD$3:DD$105=AP105)*(DE$3:DE$105="L"))+SUMPRODUCT((DA$3:DA$105=AP107)*(DD$3:DD$105=AP106)*(DE$3:DE$105="L"))+SUMPRODUCT((DA$3:DA$105=AP108)*(DD$3:DD$105=AP107)*(DF$3:DF$105="L"))+SUMPRODUCT((DA$3:DA$105=AP105)*(DD$3:DD$105=AP107)*(DF$3:DF$105="L"))+SUMPRODUCT((DA$3:DA$105=AP106)*(DD$3:DD$105=AP107)*(DF$3:DF$105="L")),"")</f>
        <v/>
      </c>
      <c r="AT107" s="231">
        <f>SUMPRODUCT((DA$3:DA$105=AP107)*(DD$3:DD$105=AP108)*DB$3:DB$105)+SUMPRODUCT((DA$3:DA$105=AP107)*(DD$3:DD$105=AP104)*DB$3:DB$105)+SUMPRODUCT((DA$3:DA$105=AP107)*(DD$3:DD$105=AP105)*DB$3:DB$105)+SUMPRODUCT((DA$3:DA$105=AP107)*(DD$3:DD$105=AP106)*DB$3:DB$105)+SUMPRODUCT((DA$3:DA$105=AP108)*(DD$3:DD$105=AP107)*DC$3:DC$105)+SUMPRODUCT((DA$3:DA$105=AP104)*(DD$3:DD$105=AP107)*DC$3:DC$105)+SUMPRODUCT((DA$3:DA$105=AP105)*(DD$3:DD$105=AP107)*DC$3:DC$105)+SUMPRODUCT((DA$3:DA$105=AP106)*(DD$3:DD$105=AP107)*DC$3:DC$105)</f>
        <v>0</v>
      </c>
      <c r="AU107" s="231">
        <f>SUMPRODUCT((DA$3:DA$105=AP107)*(DD$3:DD$105=AP108)*DC$3:DC$105)+SUMPRODUCT((DA$3:DA$105=AP107)*(DD$3:DD$105=AP104)*DC$3:DC$105)+SUMPRODUCT((DA$3:DA$105=AP107)*(DD$3:DD$105=AP105)*DC$3:DC$105)+SUMPRODUCT((DA$3:DA$105=AP107)*(DD$3:DD$105=AP106)*DC$3:DC$105)+SUMPRODUCT((DA$3:DA$105=AP108)*(DD$3:DD$105=AP107)*DB$3:DB$105)+SUMPRODUCT((DA$3:DA$105=AP104)*(DD$3:DD$105=AP107)*DB$3:DB$105)+SUMPRODUCT((DA$3:DA$105=AP105)*(DD$3:DD$105=AP107)*DB$3:DB$105)+SUMPRODUCT((DA$3:DA$105=AP106)*(DD$3:DD$105=AP107)*DB$3:DB$105)</f>
        <v>0</v>
      </c>
      <c r="AV107" s="231">
        <f>AT107-AU107+1000</f>
        <v>1000</v>
      </c>
      <c r="AW107" s="231" t="str">
        <f t="shared" si="186"/>
        <v/>
      </c>
      <c r="AX107" s="231" t="str">
        <f>IF(AP107&lt;&gt;"",VLOOKUP(AP107,C$4:I$52,7,FALSE),"")</f>
        <v/>
      </c>
      <c r="AY107" s="231" t="str">
        <f>IF(AP107&lt;&gt;"",VLOOKUP(AP107,C$4:I$52,5,FALSE),"")</f>
        <v/>
      </c>
      <c r="AZ107" s="231" t="str">
        <f>IF(AP107&lt;&gt;"",VLOOKUP(AP107,C$4:K$52,9,FALSE),"")</f>
        <v/>
      </c>
      <c r="BA107" s="231" t="str">
        <f t="shared" si="187"/>
        <v/>
      </c>
      <c r="BB107" s="231" t="str">
        <f>IF(AP107&lt;&gt;"",RANK(BA107,BA104:BA107),"")</f>
        <v/>
      </c>
      <c r="BC107" s="231" t="str">
        <f>IF(AP107&lt;&gt;"",SUMPRODUCT((BA104:BA107=BA107)*(AV104:AV107&gt;AV107)),"")</f>
        <v/>
      </c>
      <c r="BD107" s="231" t="str">
        <f>IF(AP107&lt;&gt;"",SUMPRODUCT((BA104:BA107=BA107)*(AV104:AV107=AV107)*(AT104:AT107&gt;AT107)),"")</f>
        <v/>
      </c>
      <c r="BE107" s="231" t="str">
        <f>IF(AP107&lt;&gt;"",SUMPRODUCT((BA104:BA107=BA107)*(AV104:AV107=AV107)*(AT104:AT107=AT107)*(AX104:AX107&gt;AX107)),"")</f>
        <v/>
      </c>
      <c r="BF107" s="231" t="str">
        <f>IF(AP107&lt;&gt;"",SUMPRODUCT((BA104:BA107=BA107)*(AV104:AV107=AV107)*(AT104:AT107=AT107)*(AX104:AX107=AX107)*(AY104:AY107&gt;AY107)),"")</f>
        <v/>
      </c>
      <c r="BG107" s="231" t="str">
        <f>IF(AP107&lt;&gt;"",SUMPRODUCT((BA104:BA107=BA107)*(AV104:AV107=AV107)*(AT104:AT107=AT107)*(AX104:AX107=AX107)*(AY104:AY107=AY107)*(AZ104:AZ107&gt;AZ107)),"")</f>
        <v/>
      </c>
      <c r="BH107" s="231" t="str">
        <f t="shared" si="188"/>
        <v/>
      </c>
      <c r="DS107" s="233" t="str">
        <f>Matches!M96</f>
        <v>Match 80 Winner</v>
      </c>
      <c r="DU107" s="233" t="str">
        <f>IF(ISERROR("Calculator!"&amp;VLOOKUP(DS107,Calculator!$DS$7:$DT$54,2,FALSE)),"Calculator!dr77","Calculator!"&amp;VLOOKUP(DS107,Calculator!$DS$7:$DT$54,2,FALSE))</f>
        <v>Calculator!dr77</v>
      </c>
      <c r="DX107" s="230"/>
      <c r="DY107" s="243">
        <v>100</v>
      </c>
      <c r="DZ107" s="244">
        <f t="shared" si="158"/>
        <v>46214.875</v>
      </c>
      <c r="EA107" s="247">
        <v>46214.875</v>
      </c>
      <c r="EB107" s="246">
        <f t="shared" si="183"/>
        <v>46214.875</v>
      </c>
      <c r="EC107" s="230"/>
    </row>
    <row r="108" spans="10:133" x14ac:dyDescent="0.25">
      <c r="DS108" s="233" t="str">
        <f>Matches!M97</f>
        <v>Match 84 Winner</v>
      </c>
      <c r="DU108" s="233" t="str">
        <f>IF(ISERROR("Calculator!"&amp;VLOOKUP(DS108,Calculator!$DS$7:$DT$54,2,FALSE)),"Calculator!dr77","Calculator!"&amp;VLOOKUP(DS108,Calculator!$DS$7:$DT$54,2,FALSE))</f>
        <v>Calculator!dr77</v>
      </c>
      <c r="DX108" s="230"/>
      <c r="DY108" s="243">
        <v>101</v>
      </c>
      <c r="DZ108" s="244">
        <f t="shared" si="158"/>
        <v>46217.625</v>
      </c>
      <c r="EA108" s="247">
        <v>46217.625</v>
      </c>
      <c r="EB108" s="246">
        <f t="shared" si="183"/>
        <v>46217.625</v>
      </c>
      <c r="EC108" s="230"/>
    </row>
    <row r="109" spans="10:133" x14ac:dyDescent="0.25">
      <c r="U109" s="231">
        <f>IF(V110="",SUM(AH31:AM31),IF(V111="",SUM(AH32:AM32),IF(V112="",SUM(AH33:AM33),IF(V113="",SUM(AH34:AM34),0))))</f>
        <v>0</v>
      </c>
      <c r="AO109" s="231">
        <f>IF(AP111="",SUM(BB32:BG32),IF(AP112="",SUM(BB33:BG33),IF(AP113="",SUM(BB34:BG34),0)))</f>
        <v>0</v>
      </c>
      <c r="DS109" s="233" t="str">
        <f>Matches!M98</f>
        <v>Match 82 Winner</v>
      </c>
      <c r="DU109" s="233" t="str">
        <f>IF(ISERROR("Calculator!"&amp;VLOOKUP(DS109,Calculator!$DS$7:$DT$54,2,FALSE)),"Calculator!dr77","Calculator!"&amp;VLOOKUP(DS109,Calculator!$DS$7:$DT$54,2,FALSE))</f>
        <v>Calculator!dr77</v>
      </c>
      <c r="DX109" s="230"/>
      <c r="DY109" s="243">
        <v>102</v>
      </c>
      <c r="DZ109" s="244">
        <f t="shared" si="158"/>
        <v>46218.625</v>
      </c>
      <c r="EA109" s="247">
        <v>46218.625</v>
      </c>
      <c r="EB109" s="246">
        <f t="shared" si="183"/>
        <v>46218.625</v>
      </c>
      <c r="EC109" s="230"/>
    </row>
    <row r="110" spans="10:133" x14ac:dyDescent="0.25">
      <c r="J110" s="231">
        <f>IF(COUNTIF(J$31:J$34,4)=4,1,SUMPRODUCT((J$31:J$34=J31)*(I$31:I$34=I31)*(G$31:G$34&gt;G31))+1)</f>
        <v>1</v>
      </c>
      <c r="U110" s="231">
        <f>IF(V31&lt;&gt;"",SUMPRODUCT((AC31:AC34=AC31)*(AB31:AB34=AB31)*(Z31:Z34=Z31)*(AA31:AA34=AA31)),"")</f>
        <v>4</v>
      </c>
      <c r="V110" s="231" t="str">
        <f>IF(AND(U110&lt;&gt;"",U110&gt;1),V31,"")</f>
        <v>Curacao</v>
      </c>
      <c r="W110" s="231">
        <f>SUMPRODUCT((DA$3:DA$105=V110)*(DD$3:DD$105=V111)*(DE$3:DE$105="W"))+SUMPRODUCT((DA$3:DA$105=V110)*(DD$3:DD$105=V112)*(DE$3:DE$105="W"))+SUMPRODUCT((DA$3:DA$105=V110)*(DD$3:DD$105=V113)*(DE$3:DE$105="W"))+SUMPRODUCT((DA$3:DA$105=V110)*(DD$3:DD$105=V114)*(DE$3:DE$105="W"))+SUMPRODUCT((DA$3:DA$105=V111)*(DD$3:DD$105=V110)*(DF$3:DF$105="W"))+SUMPRODUCT((DA$3:DA$105=V112)*(DD$3:DD$105=V110)*(DF$3:DF$105="W"))+SUMPRODUCT((DA$3:DA$105=V113)*(DD$3:DD$105=V110)*(DF$3:DF$105="W"))+SUMPRODUCT((DA$3:DA$105=V114)*(DD$3:DD$105=V110)*(DF$3:DF$105="W"))</f>
        <v>0</v>
      </c>
      <c r="X110" s="231">
        <f>SUMPRODUCT((DA$3:DA$105=V110)*(DD$3:DD$105=V111)*(DE$3:DE$105="D"))+SUMPRODUCT((DA$3:DA$105=V110)*(DD$3:DD$105=V112)*(DE$3:DE$105="D"))+SUMPRODUCT((DA$3:DA$105=V110)*(DD$3:DD$105=V113)*(DE$3:DE$105="D"))+SUMPRODUCT((DA$3:DA$105=V110)*(DD$3:DD$105=V114)*(DE$3:DE$105="D"))+SUMPRODUCT((DA$3:DA$105=V111)*(DD$3:DD$105=V110)*(DE$3:DE$105="D"))+SUMPRODUCT((DA$3:DA$105=V112)*(DD$3:DD$105=V110)*(DE$3:DE$105="D"))+SUMPRODUCT((DA$3:DA$105=V113)*(DD$3:DD$105=V110)*(DE$3:DE$105="D"))+SUMPRODUCT((DA$3:DA$105=V114)*(DD$3:DD$105=V110)*(DE$3:DE$105="D"))</f>
        <v>0</v>
      </c>
      <c r="Y110" s="231">
        <f>SUMPRODUCT((DA$3:DA$105=V110)*(DD$3:DD$105=V111)*(DE$3:DE$105="L"))+SUMPRODUCT((DA$3:DA$105=V110)*(DD$3:DD$105=V112)*(DE$3:DE$105="L"))+SUMPRODUCT((DA$3:DA$105=V110)*(DD$3:DD$105=V113)*(DE$3:DE$105="L"))+SUMPRODUCT((DA$3:DA$105=V110)*(DD$3:DD$105=V114)*(DE$3:DE$105="L"))+SUMPRODUCT((DA$3:DA$105=V111)*(DD$3:DD$105=V110)*(DF$3:DF$105="L"))+SUMPRODUCT((DA$3:DA$105=V112)*(DD$3:DD$105=V110)*(DF$3:DF$105="L"))+SUMPRODUCT((DA$3:DA$105=V113)*(DD$3:DD$105=V110)*(DF$3:DF$105="L"))+SUMPRODUCT((DA$3:DA$105=V114)*(DD$3:DD$105=V110)*(DF$3:DF$105="L"))</f>
        <v>0</v>
      </c>
      <c r="Z110" s="231">
        <f>SUMPRODUCT((DA$3:DA$105=V110)*(DD$3:DD$105=V111)*DB$3:DB$105)+SUMPRODUCT((DA$3:DA$105=V110)*(DD$3:DD$105=V112)*DB$3:DB$105)+SUMPRODUCT((DA$3:DA$105=V110)*(DD$3:DD$105=V113)*DB$3:DB$105)+SUMPRODUCT((DA$3:DA$105=V110)*(DD$3:DD$105=V114)*DB$3:DB$105)+SUMPRODUCT((DA$3:DA$105=V111)*(DD$3:DD$105=V110)*DC$3:DC$105)+SUMPRODUCT((DA$3:DA$105=V112)*(DD$3:DD$105=V110)*DC$3:DC$105)+SUMPRODUCT((DA$3:DA$105=V113)*(DD$3:DD$105=V110)*DC$3:DC$105)+SUMPRODUCT((DA$3:DA$105=V114)*(DD$3:DD$105=V110)*DC$3:DC$105)</f>
        <v>0</v>
      </c>
      <c r="AA110" s="231">
        <f>SUMPRODUCT((DA$3:DA$105=V110)*(DD$3:DD$105=V111)*DC$3:DC$105)+SUMPRODUCT((DA$3:DA$105=V110)*(DD$3:DD$105=V112)*DC$3:DC$105)+SUMPRODUCT((DA$3:DA$105=V110)*(DD$3:DD$105=V113)*DC$3:DC$105)+SUMPRODUCT((DA$3:DA$105=V110)*(DD$3:DD$105=V114)*DC$3:DC$105)+SUMPRODUCT((DA$3:DA$105=V111)*(DD$3:DD$105=V110)*DB$3:DB$105)+SUMPRODUCT((DA$3:DA$105=V112)*(DD$3:DD$105=V110)*DB$3:DB$105)+SUMPRODUCT((DA$3:DA$105=V113)*(DD$3:DD$105=V110)*DB$3:DB$105)+SUMPRODUCT((DA$3:DA$105=V114)*(DD$3:DD$105=V110)*DB$3:DB$105)</f>
        <v>0</v>
      </c>
      <c r="AB110" s="231">
        <f>Z110-AA110+1000</f>
        <v>1000</v>
      </c>
      <c r="AC110" s="231">
        <f>IF(V110&lt;&gt;"",W110*3+X110*1,"")</f>
        <v>0</v>
      </c>
      <c r="AD110" s="231">
        <f>IF(V110&lt;&gt;"",VLOOKUP(V110,C$4:I$52,7,FALSE),"")</f>
        <v>1000</v>
      </c>
      <c r="AE110" s="231">
        <f>IF(V110&lt;&gt;"",VLOOKUP(V110,C$4:I$52,5,FALSE),"")</f>
        <v>0</v>
      </c>
      <c r="AF110" s="231">
        <f>IF(V110&lt;&gt;"",VLOOKUP(V110,C$4:K$52,9,FALSE),"")</f>
        <v>-181</v>
      </c>
      <c r="AG110" s="231">
        <f>AC110</f>
        <v>0</v>
      </c>
      <c r="AH110" s="231">
        <f>IF(V110&lt;&gt;"",RANK(AG110,AG110:AG113),"")</f>
        <v>1</v>
      </c>
      <c r="AI110" s="231">
        <f>IF(V110&lt;&gt;"",SUMPRODUCT((AG110:AG113=AG110)*(AB110:AB113&gt;AB110)),"")</f>
        <v>0</v>
      </c>
      <c r="AJ110" s="231">
        <f>IF(V110&lt;&gt;"",SUMPRODUCT((AG110:AG113=AG110)*(AB110:AB113=AB110)*(Z110:Z113&gt;Z110)),"")</f>
        <v>0</v>
      </c>
      <c r="AK110" s="231">
        <f>IF(V110&lt;&gt;"",SUMPRODUCT((AG110:AG113=AG110)*(AB110:AB113=AB110)*(Z110:Z113=Z110)*(AD110:AD113&gt;AD110)),"")</f>
        <v>0</v>
      </c>
      <c r="AL110" s="231">
        <f>IF(V110&lt;&gt;"",SUMPRODUCT((AG110:AG113=AG110)*(AB110:AB113=AB110)*(Z110:Z113=Z110)*(AD110:AD113=AD110)*(AE110:AE113&gt;AE110)),"")</f>
        <v>0</v>
      </c>
      <c r="AM110" s="231">
        <f>IF(V110&lt;&gt;"",SUMPRODUCT((AG110:AG113=AG110)*(AB110:AB113=AB110)*(Z110:Z113=Z110)*(AD110:AD113=AD110)*(AE110:AE113=AE110)*(AF110:AF113&gt;AF110)),"")</f>
        <v>3</v>
      </c>
      <c r="AN110" s="231">
        <f>IF(V110&lt;&gt;"",SUM(AH110:AM110),"")</f>
        <v>4</v>
      </c>
      <c r="DS110" s="233" t="str">
        <f>Matches!M99</f>
        <v>Match 88 Winner</v>
      </c>
      <c r="DU110" s="233" t="str">
        <f>IF(ISERROR("Calculator!"&amp;VLOOKUP(DS110,Calculator!$DS$7:$DT$54,2,FALSE)),"Calculator!dr77","Calculator!"&amp;VLOOKUP(DS110,Calculator!$DS$7:$DT$54,2,FALSE))</f>
        <v>Calculator!dr77</v>
      </c>
      <c r="DX110" s="230"/>
      <c r="DY110" s="243">
        <v>103</v>
      </c>
      <c r="DZ110" s="244">
        <f t="shared" si="158"/>
        <v>46221.708333333336</v>
      </c>
      <c r="EA110" s="247">
        <v>46221.708333333336</v>
      </c>
      <c r="EB110" s="246">
        <f t="shared" si="183"/>
        <v>46221.708333333336</v>
      </c>
      <c r="EC110" s="230"/>
    </row>
    <row r="111" spans="10:133" x14ac:dyDescent="0.25">
      <c r="J111" s="231">
        <f>IF(COUNTIF(J$31:J$34,4)=4,1,SUMPRODUCT((J$31:J$34=J32)*(I$31:I$34=I32)*(G$31:G$34&gt;G32))+1)</f>
        <v>1</v>
      </c>
      <c r="U111" s="231">
        <f>IF(V32&lt;&gt;"",SUMPRODUCT((AC31:AC34=AC32)*(AB31:AB34=AB32)*(Z31:Z34=Z32)*(AA31:AA34=AA32)),"")</f>
        <v>4</v>
      </c>
      <c r="V111" s="231" t="str">
        <f>IF(AND(U111&lt;&gt;"",U111&gt;1),V32,"")</f>
        <v>Cote D'Voire</v>
      </c>
      <c r="W111" s="231">
        <f>SUMPRODUCT((DA$3:DA$105=V111)*(DD$3:DD$105=V112)*(DE$3:DE$105="W"))+SUMPRODUCT((DA$3:DA$105=V111)*(DD$3:DD$105=V113)*(DE$3:DE$105="W"))+SUMPRODUCT((DA$3:DA$105=V111)*(DD$3:DD$105=V114)*(DE$3:DE$105="W"))+SUMPRODUCT((DA$3:DA$105=V111)*(DD$3:DD$105=V110)*(DE$3:DE$105="W"))+SUMPRODUCT((DA$3:DA$105=V112)*(DD$3:DD$105=V111)*(DF$3:DF$105="W"))+SUMPRODUCT((DA$3:DA$105=V113)*(DD$3:DD$105=V111)*(DF$3:DF$105="W"))+SUMPRODUCT((DA$3:DA$105=V114)*(DD$3:DD$105=V111)*(DF$3:DF$105="W"))+SUMPRODUCT((DA$3:DA$105=V110)*(DD$3:DD$105=V111)*(DF$3:DF$105="W"))</f>
        <v>0</v>
      </c>
      <c r="X111" s="231">
        <f>SUMPRODUCT((DA$3:DA$105=V111)*(DD$3:DD$105=V112)*(DE$3:DE$105="D"))+SUMPRODUCT((DA$3:DA$105=V111)*(DD$3:DD$105=V113)*(DE$3:DE$105="D"))+SUMPRODUCT((DA$3:DA$105=V111)*(DD$3:DD$105=V114)*(DE$3:DE$105="D"))+SUMPRODUCT((DA$3:DA$105=V111)*(DD$3:DD$105=V110)*(DE$3:DE$105="D"))+SUMPRODUCT((DA$3:DA$105=V112)*(DD$3:DD$105=V111)*(DE$3:DE$105="D"))+SUMPRODUCT((DA$3:DA$105=V113)*(DD$3:DD$105=V111)*(DE$3:DE$105="D"))+SUMPRODUCT((DA$3:DA$105=V114)*(DD$3:DD$105=V111)*(DE$3:DE$105="D"))+SUMPRODUCT((DA$3:DA$105=V110)*(DD$3:DD$105=V111)*(DE$3:DE$105="D"))</f>
        <v>0</v>
      </c>
      <c r="Y111" s="231">
        <f>SUMPRODUCT((DA$3:DA$105=V111)*(DD$3:DD$105=V112)*(DE$3:DE$105="L"))+SUMPRODUCT((DA$3:DA$105=V111)*(DD$3:DD$105=V113)*(DE$3:DE$105="L"))+SUMPRODUCT((DA$3:DA$105=V111)*(DD$3:DD$105=V114)*(DE$3:DE$105="L"))+SUMPRODUCT((DA$3:DA$105=V111)*(DD$3:DD$105=V110)*(DE$3:DE$105="L"))+SUMPRODUCT((DA$3:DA$105=V112)*(DD$3:DD$105=V111)*(DF$3:DF$105="L"))+SUMPRODUCT((DA$3:DA$105=V113)*(DD$3:DD$105=V111)*(DF$3:DF$105="L"))+SUMPRODUCT((DA$3:DA$105=V114)*(DD$3:DD$105=V111)*(DF$3:DF$105="L"))+SUMPRODUCT((DA$3:DA$105=V110)*(DD$3:DD$105=V111)*(DF$3:DF$105="L"))</f>
        <v>0</v>
      </c>
      <c r="Z111" s="231">
        <f>SUMPRODUCT((DA$3:DA$105=V111)*(DD$3:DD$105=V112)*DB$3:DB$105)+SUMPRODUCT((DA$3:DA$105=V111)*(DD$3:DD$105=V113)*DB$3:DB$105)+SUMPRODUCT((DA$3:DA$105=V111)*(DD$3:DD$105=V114)*DB$3:DB$105)+SUMPRODUCT((DA$3:DA$105=V111)*(DD$3:DD$105=V110)*DB$3:DB$105)+SUMPRODUCT((DA$3:DA$105=V112)*(DD$3:DD$105=V111)*DC$3:DC$105)+SUMPRODUCT((DA$3:DA$105=V113)*(DD$3:DD$105=V111)*DC$3:DC$105)+SUMPRODUCT((DA$3:DA$105=V114)*(DD$3:DD$105=V111)*DC$3:DC$105)+SUMPRODUCT((DA$3:DA$105=V110)*(DD$3:DD$105=V111)*DC$3:DC$105)</f>
        <v>0</v>
      </c>
      <c r="AA111" s="231">
        <f>SUMPRODUCT((DA$3:DA$105=V111)*(DD$3:DD$105=V112)*DC$3:DC$105)+SUMPRODUCT((DA$3:DA$105=V111)*(DD$3:DD$105=V113)*DC$3:DC$105)+SUMPRODUCT((DA$3:DA$105=V111)*(DD$3:DD$105=V114)*DC$3:DC$105)+SUMPRODUCT((DA$3:DA$105=V111)*(DD$3:DD$105=V110)*DC$3:DC$105)+SUMPRODUCT((DA$3:DA$105=V112)*(DD$3:DD$105=V111)*DB$3:DB$105)+SUMPRODUCT((DA$3:DA$105=V113)*(DD$3:DD$105=V111)*DB$3:DB$105)+SUMPRODUCT((DA$3:DA$105=V114)*(DD$3:DD$105=V111)*DB$3:DB$105)+SUMPRODUCT((DA$3:DA$105=V110)*(DD$3:DD$105=V111)*DB$3:DB$105)</f>
        <v>0</v>
      </c>
      <c r="AB111" s="231">
        <f>Z111-AA111+1000</f>
        <v>1000</v>
      </c>
      <c r="AC111" s="231">
        <f t="shared" ref="AC111:AC113" si="189">IF(V111&lt;&gt;"",W111*3+X111*1,"")</f>
        <v>0</v>
      </c>
      <c r="AD111" s="231">
        <f>IF(V111&lt;&gt;"",VLOOKUP(V111,C$4:I$52,7,FALSE),"")</f>
        <v>1000</v>
      </c>
      <c r="AE111" s="231">
        <f>IF(V111&lt;&gt;"",VLOOKUP(V111,C$4:I$52,5,FALSE),"")</f>
        <v>0</v>
      </c>
      <c r="AF111" s="231">
        <f>IF(V111&lt;&gt;"",VLOOKUP(V111,C$4:K$52,9,FALSE),"")</f>
        <v>-137</v>
      </c>
      <c r="AG111" s="231">
        <f t="shared" ref="AG111:AG113" si="190">AC111</f>
        <v>0</v>
      </c>
      <c r="AH111" s="231">
        <f>IF(V111&lt;&gt;"",RANK(AG111,AG110:AG113),"")</f>
        <v>1</v>
      </c>
      <c r="AI111" s="231">
        <f>IF(V111&lt;&gt;"",SUMPRODUCT((AG110:AG113=AG111)*(AB110:AB113&gt;AB111)),"")</f>
        <v>0</v>
      </c>
      <c r="AJ111" s="231">
        <f>IF(V111&lt;&gt;"",SUMPRODUCT((AG110:AG113=AG111)*(AB110:AB113=AB111)*(Z110:Z113&gt;Z111)),"")</f>
        <v>0</v>
      </c>
      <c r="AK111" s="231">
        <f>IF(V111&lt;&gt;"",SUMPRODUCT((AG110:AG113=AG111)*(AB110:AB113=AB111)*(Z110:Z113=Z111)*(AD110:AD113&gt;AD111)),"")</f>
        <v>0</v>
      </c>
      <c r="AL111" s="231">
        <f>IF(V111&lt;&gt;"",SUMPRODUCT((AG110:AG113=AG111)*(AB110:AB113=AB111)*(Z110:Z113=Z111)*(AD110:AD113=AD111)*(AE110:AE113&gt;AE111)),"")</f>
        <v>0</v>
      </c>
      <c r="AM111" s="231">
        <f>IF(V111&lt;&gt;"",SUMPRODUCT((AG110:AG113=AG111)*(AB110:AB113=AB111)*(Z110:Z113=Z111)*(AD110:AD113=AD111)*(AE110:AE113=AE111)*(AF110:AF113&gt;AF111)),"")</f>
        <v>2</v>
      </c>
      <c r="AN111" s="231">
        <f>IF(V111&lt;&gt;"",SUM(AH111:AM111),"")</f>
        <v>3</v>
      </c>
      <c r="AO111" s="231" t="str">
        <f>IF(AP32&lt;&gt;"",SUMPRODUCT((AW31:AW34=AW32)*(AV31:AV34=AV32)*(AT31:AT34=AT32)*(AU31:AU34=AU32)),"")</f>
        <v/>
      </c>
      <c r="AP111" s="231" t="str">
        <f>IF(AND(AO111&lt;&gt;"",AO111&gt;1),AP32,"")</f>
        <v/>
      </c>
      <c r="AQ111" s="231">
        <f>SUMPRODUCT((DA$3:DA$105=AP111)*(DD$3:DD$105=AP112)*(DE$3:DE$105="W"))+SUMPRODUCT((DA$3:DA$105=AP111)*(DD$3:DD$105=AP113)*(DE$3:DE$105="W"))+SUMPRODUCT((DA$3:DA$105=AP111)*(DD$3:DD$105=AP114)*(DE$3:DE$105="W"))+SUMPRODUCT((DA$3:DA$105=AP112)*(DD$3:DD$105=AP111)*(DF$3:DF$105="W"))+SUMPRODUCT((DA$3:DA$105=AP113)*(DD$3:DD$105=AP111)*(DF$3:DF$105="W"))+SUMPRODUCT((DA$3:DA$105=AP114)*(DD$3:DD$105=AP111)*(DF$3:DF$105="W"))</f>
        <v>0</v>
      </c>
      <c r="AR111" s="231">
        <f>SUMPRODUCT((DA$3:DA$105=AP111)*(DD$3:DD$105=AP112)*(DE$3:DE$105="D"))+SUMPRODUCT((DA$3:DA$105=AP111)*(DD$3:DD$105=AP113)*(DE$3:DE$105="D"))+SUMPRODUCT((DA$3:DA$105=AP111)*(DD$3:DD$105=AP114)*(DE$3:DE$105="D"))+SUMPRODUCT((DA$3:DA$105=AP112)*(DD$3:DD$105=AP111)*(DE$3:DE$105="D"))+SUMPRODUCT((DA$3:DA$105=AP113)*(DD$3:DD$105=AP111)*(DE$3:DE$105="D"))+SUMPRODUCT((DA$3:DA$105=AP114)*(DD$3:DD$105=AP111)*(DE$3:DE$105="D"))</f>
        <v>0</v>
      </c>
      <c r="AS111" s="231">
        <f>SUMPRODUCT((DA$3:DA$105=AP111)*(DD$3:DD$105=AP112)*(DE$3:DE$105="L"))+SUMPRODUCT((DA$3:DA$105=AP111)*(DD$3:DD$105=AP113)*(DE$3:DE$105="L"))+SUMPRODUCT((DA$3:DA$105=AP111)*(DD$3:DD$105=AP114)*(DE$3:DE$105="L"))+SUMPRODUCT((DA$3:DA$105=AP112)*(DD$3:DD$105=AP111)*(DF$3:DF$105="L"))+SUMPRODUCT((DA$3:DA$105=AP113)*(DD$3:DD$105=AP111)*(DF$3:DF$105="L"))+SUMPRODUCT((DA$3:DA$105=AP114)*(DD$3:DD$105=AP111)*(DF$3:DF$105="L"))</f>
        <v>0</v>
      </c>
      <c r="AT111" s="231">
        <f>SUMPRODUCT((DA$3:DA$105=AP111)*(DD$3:DD$105=AP112)*DB$3:DB$105)+SUMPRODUCT((DA$3:DA$105=AP111)*(DD$3:DD$105=AP113)*DB$3:DB$105)+SUMPRODUCT((DA$3:DA$105=AP111)*(DD$3:DD$105=AP114)*DB$3:DB$105)+SUMPRODUCT((DA$3:DA$105=AP111)*(DD$3:DD$105=AP110)*DB$3:DB$105)+SUMPRODUCT((DA$3:DA$105=AP112)*(DD$3:DD$105=AP111)*DC$3:DC$105)+SUMPRODUCT((DA$3:DA$105=AP113)*(DD$3:DD$105=AP111)*DC$3:DC$105)+SUMPRODUCT((DA$3:DA$105=AP114)*(DD$3:DD$105=AP111)*DC$3:DC$105)+SUMPRODUCT((DA$3:DA$105=AP110)*(DD$3:DD$105=AP111)*DC$3:DC$105)</f>
        <v>0</v>
      </c>
      <c r="AU111" s="231">
        <f>SUMPRODUCT((DA$3:DA$105=AP111)*(DD$3:DD$105=AP112)*DC$3:DC$105)+SUMPRODUCT((DA$3:DA$105=AP111)*(DD$3:DD$105=AP113)*DC$3:DC$105)+SUMPRODUCT((DA$3:DA$105=AP111)*(DD$3:DD$105=AP114)*DC$3:DC$105)+SUMPRODUCT((DA$3:DA$105=AP111)*(DD$3:DD$105=AP110)*DC$3:DC$105)+SUMPRODUCT((DA$3:DA$105=AP112)*(DD$3:DD$105=AP111)*DB$3:DB$105)+SUMPRODUCT((DA$3:DA$105=AP113)*(DD$3:DD$105=AP111)*DB$3:DB$105)+SUMPRODUCT((DA$3:DA$105=AP114)*(DD$3:DD$105=AP111)*DB$3:DB$105)+SUMPRODUCT((DA$3:DA$105=AP110)*(DD$3:DD$105=AP111)*DB$3:DB$105)</f>
        <v>0</v>
      </c>
      <c r="AV111" s="231">
        <f>AT111-AU111+1000</f>
        <v>1000</v>
      </c>
      <c r="AW111" s="231" t="str">
        <f t="shared" ref="AW111:AW113" si="191">IF(AP111&lt;&gt;"",AQ111*3+AR111*1,"")</f>
        <v/>
      </c>
      <c r="AX111" s="231" t="str">
        <f>IF(AP111&lt;&gt;"",VLOOKUP(AP111,C$4:I$52,7,FALSE),"")</f>
        <v/>
      </c>
      <c r="AY111" s="231" t="str">
        <f>IF(AP111&lt;&gt;"",VLOOKUP(AP111,C$4:I$52,5,FALSE),"")</f>
        <v/>
      </c>
      <c r="AZ111" s="231" t="str">
        <f>IF(AP111&lt;&gt;"",VLOOKUP(AP111,C$4:K$52,9,FALSE),"")</f>
        <v/>
      </c>
      <c r="BA111" s="231" t="str">
        <f t="shared" ref="BA111:BA113" si="192">AW111</f>
        <v/>
      </c>
      <c r="BB111" s="231" t="str">
        <f>IF(AP111&lt;&gt;"",RANK(BA111,BA110:BA113),"")</f>
        <v/>
      </c>
      <c r="BC111" s="231" t="str">
        <f>IF(AP111&lt;&gt;"",SUMPRODUCT((BA110:BA113=BA111)*(AV110:AV113&gt;AV111)),"")</f>
        <v/>
      </c>
      <c r="BD111" s="231" t="str">
        <f>IF(AP111&lt;&gt;"",SUMPRODUCT((BA110:BA113=BA111)*(AV110:AV113=AV111)*(AT110:AT113&gt;AT111)),"")</f>
        <v/>
      </c>
      <c r="BE111" s="231" t="str">
        <f>IF(AP111&lt;&gt;"",SUMPRODUCT((BA110:BA113=BA111)*(AV110:AV113=AV111)*(AT110:AT113=AT111)*(AX110:AX113&gt;AX111)),"")</f>
        <v/>
      </c>
      <c r="BF111" s="231" t="str">
        <f>IF(AP111&lt;&gt;"",SUMPRODUCT((BA110:BA113=BA111)*(AV110:AV113=AV111)*(AT110:AT113=AT111)*(AX110:AX113=AX111)*(AY110:AY113&gt;AY111)),"")</f>
        <v/>
      </c>
      <c r="BG111" s="231" t="str">
        <f>IF(AP111&lt;&gt;"",SUMPRODUCT((BA110:BA113=BA111)*(AV110:AV113=AV111)*(AT110:AT113=AT111)*(AX110:AX113=AX111)*(AY110:AY113=AY111)*(AZ110:AZ113&gt;AZ111)),"")</f>
        <v/>
      </c>
      <c r="BH111" s="231" t="str">
        <f>IF(AP111&lt;&gt;"",SUM(BB111:BG111)+1,"")</f>
        <v/>
      </c>
      <c r="DS111" s="233" t="str">
        <f>Matches!M100</f>
        <v>Match 87 Winner</v>
      </c>
      <c r="DU111" s="233" t="str">
        <f>IF(ISERROR("Calculator!"&amp;VLOOKUP(DS111,Calculator!$DS$7:$DT$54,2,FALSE)),"Calculator!dr77","Calculator!"&amp;VLOOKUP(DS111,Calculator!$DS$7:$DT$54,2,FALSE))</f>
        <v>Calculator!dr77</v>
      </c>
      <c r="DX111" s="230"/>
      <c r="DY111" s="243">
        <v>104</v>
      </c>
      <c r="DZ111" s="244">
        <f t="shared" si="158"/>
        <v>46222.625</v>
      </c>
      <c r="EA111" s="247">
        <v>46222.625</v>
      </c>
      <c r="EB111" s="246">
        <f t="shared" si="183"/>
        <v>46222.625</v>
      </c>
      <c r="EC111" s="230"/>
    </row>
    <row r="112" spans="10:133" x14ac:dyDescent="0.25">
      <c r="J112" s="231">
        <f>IF(COUNTIF(J$31:J$34,4)=4,1,SUMPRODUCT((J$31:J$34=J33)*(I$31:I$34=I33)*(G$31:G$34&gt;G33))+1)</f>
        <v>1</v>
      </c>
      <c r="U112" s="231">
        <f>IF(V33&lt;&gt;"",SUMPRODUCT((AC31:AC34=AC33)*(AB31:AB34=AB33)*(Z31:Z34=Z33)*(AA31:AA34=AA33)),"")</f>
        <v>4</v>
      </c>
      <c r="V112" s="231" t="str">
        <f>IF(AND(U112&lt;&gt;"",U112&gt;1),V33,"")</f>
        <v>Ecuador</v>
      </c>
      <c r="W112" s="231">
        <f>SUMPRODUCT((DA$3:DA$105=V112)*(DD$3:DD$105=V113)*(DE$3:DE$105="W"))+SUMPRODUCT((DA$3:DA$105=V112)*(DD$3:DD$105=V114)*(DE$3:DE$105="W"))+SUMPRODUCT((DA$3:DA$105=V112)*(DD$3:DD$105=V110)*(DE$3:DE$105="W"))+SUMPRODUCT((DA$3:DA$105=V112)*(DD$3:DD$105=V111)*(DE$3:DE$105="W"))+SUMPRODUCT((DA$3:DA$105=V113)*(DD$3:DD$105=V112)*(DF$3:DF$105="W"))+SUMPRODUCT((DA$3:DA$105=V114)*(DD$3:DD$105=V112)*(DF$3:DF$105="W"))+SUMPRODUCT((DA$3:DA$105=V110)*(DD$3:DD$105=V112)*(DF$3:DF$105="W"))+SUMPRODUCT((DA$3:DA$105=V111)*(DD$3:DD$105=V112)*(DF$3:DF$105="W"))</f>
        <v>0</v>
      </c>
      <c r="X112" s="231">
        <f>SUMPRODUCT((DA$3:DA$105=V112)*(DD$3:DD$105=V113)*(DE$3:DE$105="D"))+SUMPRODUCT((DA$3:DA$105=V112)*(DD$3:DD$105=V114)*(DE$3:DE$105="D"))+SUMPRODUCT((DA$3:DA$105=V112)*(DD$3:DD$105=V110)*(DE$3:DE$105="D"))+SUMPRODUCT((DA$3:DA$105=V112)*(DD$3:DD$105=V111)*(DE$3:DE$105="D"))+SUMPRODUCT((DA$3:DA$105=V113)*(DD$3:DD$105=V112)*(DE$3:DE$105="D"))+SUMPRODUCT((DA$3:DA$105=V114)*(DD$3:DD$105=V112)*(DE$3:DE$105="D"))+SUMPRODUCT((DA$3:DA$105=V110)*(DD$3:DD$105=V112)*(DE$3:DE$105="D"))+SUMPRODUCT((DA$3:DA$105=V111)*(DD$3:DD$105=V112)*(DE$3:DE$105="D"))</f>
        <v>0</v>
      </c>
      <c r="Y112" s="231">
        <f>SUMPRODUCT((DA$3:DA$105=V112)*(DD$3:DD$105=V113)*(DE$3:DE$105="L"))+SUMPRODUCT((DA$3:DA$105=V112)*(DD$3:DD$105=V114)*(DE$3:DE$105="L"))+SUMPRODUCT((DA$3:DA$105=V112)*(DD$3:DD$105=V110)*(DE$3:DE$105="L"))+SUMPRODUCT((DA$3:DA$105=V112)*(DD$3:DD$105=V111)*(DE$3:DE$105="L"))+SUMPRODUCT((DA$3:DA$105=V113)*(DD$3:DD$105=V112)*(DF$3:DF$105="L"))+SUMPRODUCT((DA$3:DA$105=V114)*(DD$3:DD$105=V112)*(DF$3:DF$105="L"))+SUMPRODUCT((DA$3:DA$105=V110)*(DD$3:DD$105=V112)*(DF$3:DF$105="L"))+SUMPRODUCT((DA$3:DA$105=V111)*(DD$3:DD$105=V112)*(DF$3:DF$105="L"))</f>
        <v>0</v>
      </c>
      <c r="Z112" s="231">
        <f>SUMPRODUCT((DA$3:DA$105=V112)*(DD$3:DD$105=V113)*DB$3:DB$105)+SUMPRODUCT((DA$3:DA$105=V112)*(DD$3:DD$105=V114)*DB$3:DB$105)+SUMPRODUCT((DA$3:DA$105=V112)*(DD$3:DD$105=V110)*DB$3:DB$105)+SUMPRODUCT((DA$3:DA$105=V112)*(DD$3:DD$105=V111)*DB$3:DB$105)+SUMPRODUCT((DA$3:DA$105=V113)*(DD$3:DD$105=V112)*DC$3:DC$105)+SUMPRODUCT((DA$3:DA$105=V114)*(DD$3:DD$105=V112)*DC$3:DC$105)+SUMPRODUCT((DA$3:DA$105=V110)*(DD$3:DD$105=V112)*DC$3:DC$105)+SUMPRODUCT((DA$3:DA$105=V111)*(DD$3:DD$105=V112)*DC$3:DC$105)</f>
        <v>0</v>
      </c>
      <c r="AA112" s="231">
        <f>SUMPRODUCT((DA$3:DA$105=V112)*(DD$3:DD$105=V113)*DC$3:DC$105)+SUMPRODUCT((DA$3:DA$105=V112)*(DD$3:DD$105=V114)*DC$3:DC$105)+SUMPRODUCT((DA$3:DA$105=V112)*(DD$3:DD$105=V110)*DC$3:DC$105)+SUMPRODUCT((DA$3:DA$105=V112)*(DD$3:DD$105=V111)*DC$3:DC$105)+SUMPRODUCT((DA$3:DA$105=V113)*(DD$3:DD$105=V112)*DB$3:DB$105)+SUMPRODUCT((DA$3:DA$105=V114)*(DD$3:DD$105=V112)*DB$3:DB$105)+SUMPRODUCT((DA$3:DA$105=V110)*(DD$3:DD$105=V112)*DB$3:DB$105)+SUMPRODUCT((DA$3:DA$105=V111)*(DD$3:DD$105=V112)*DB$3:DB$105)</f>
        <v>0</v>
      </c>
      <c r="AB112" s="231">
        <f>Z112-AA112+1000</f>
        <v>1000</v>
      </c>
      <c r="AC112" s="231">
        <f t="shared" si="189"/>
        <v>0</v>
      </c>
      <c r="AD112" s="231">
        <f>IF(V112&lt;&gt;"",VLOOKUP(V112,C$4:I$52,7,FALSE),"")</f>
        <v>1000</v>
      </c>
      <c r="AE112" s="231">
        <f>IF(V112&lt;&gt;"",VLOOKUP(V112,C$4:I$52,5,FALSE),"")</f>
        <v>0</v>
      </c>
      <c r="AF112" s="231">
        <f>IF(V112&lt;&gt;"",VLOOKUP(V112,C$4:K$52,9,FALSE),"")</f>
        <v>-123</v>
      </c>
      <c r="AG112" s="231">
        <f t="shared" si="190"/>
        <v>0</v>
      </c>
      <c r="AH112" s="231">
        <f>IF(V112&lt;&gt;"",RANK(AG112,AG110:AG113),"")</f>
        <v>1</v>
      </c>
      <c r="AI112" s="231">
        <f>IF(V112&lt;&gt;"",SUMPRODUCT((AG110:AG113=AG112)*(AB110:AB113&gt;AB112)),"")</f>
        <v>0</v>
      </c>
      <c r="AJ112" s="231">
        <f>IF(V112&lt;&gt;"",SUMPRODUCT((AG110:AG113=AG112)*(AB110:AB113=AB112)*(Z110:Z113&gt;Z112)),"")</f>
        <v>0</v>
      </c>
      <c r="AK112" s="231">
        <f>IF(V112&lt;&gt;"",SUMPRODUCT((AG110:AG113=AG112)*(AB110:AB113=AB112)*(Z110:Z113=Z112)*(AD110:AD113&gt;AD112)),"")</f>
        <v>0</v>
      </c>
      <c r="AL112" s="231">
        <f>IF(V112&lt;&gt;"",SUMPRODUCT((AG110:AG113=AG112)*(AB110:AB113=AB112)*(Z110:Z113=Z112)*(AD110:AD113=AD112)*(AE110:AE113&gt;AE112)),"")</f>
        <v>0</v>
      </c>
      <c r="AM112" s="231">
        <f>IF(V112&lt;&gt;"",SUMPRODUCT((AG110:AG113=AG112)*(AB110:AB113=AB112)*(Z110:Z113=Z112)*(AD110:AD113=AD112)*(AE110:AE113=AE112)*(AF110:AF113&gt;AF112)),"")</f>
        <v>1</v>
      </c>
      <c r="AN112" s="231">
        <f>IF(V112&lt;&gt;"",SUM(AH112:AM112),"")</f>
        <v>2</v>
      </c>
      <c r="AO112" s="231" t="str">
        <f>IF(AP33&lt;&gt;"",SUMPRODUCT((AW31:AW34=AW33)*(AV31:AV34=AV33)*(AT31:AT34=AT33)*(AU31:AU34=AU33)),"")</f>
        <v/>
      </c>
      <c r="AP112" s="231" t="str">
        <f>IF(AND(AO112&lt;&gt;"",AO112&gt;1),AP33,"")</f>
        <v/>
      </c>
      <c r="AQ112" s="231">
        <f>SUMPRODUCT((DA$3:DA$105=AP112)*(DD$3:DD$105=AP113)*(DE$3:DE$105="W"))+SUMPRODUCT((DA$3:DA$105=AP112)*(DD$3:DD$105=AP114)*(DE$3:DE$105="W"))+SUMPRODUCT((DA$3:DA$105=AP112)*(DD$3:DD$105=AP111)*(DE$3:DE$105="W"))+SUMPRODUCT((DA$3:DA$105=AP113)*(DD$3:DD$105=AP112)*(DF$3:DF$105="W"))+SUMPRODUCT((DA$3:DA$105=AP114)*(DD$3:DD$105=AP112)*(DF$3:DF$105="W"))+SUMPRODUCT((DA$3:DA$105=AP111)*(DD$3:DD$105=AP112)*(DF$3:DF$105="W"))</f>
        <v>0</v>
      </c>
      <c r="AR112" s="231">
        <f>SUMPRODUCT((DA$3:DA$105=AP112)*(DD$3:DD$105=AP113)*(DE$3:DE$105="D"))+SUMPRODUCT((DA$3:DA$105=AP112)*(DD$3:DD$105=AP114)*(DE$3:DE$105="D"))+SUMPRODUCT((DA$3:DA$105=AP112)*(DD$3:DD$105=AP111)*(DE$3:DE$105="D"))+SUMPRODUCT((DA$3:DA$105=AP113)*(DD$3:DD$105=AP112)*(DE$3:DE$105="D"))+SUMPRODUCT((DA$3:DA$105=AP114)*(DD$3:DD$105=AP112)*(DE$3:DE$105="D"))+SUMPRODUCT((DA$3:DA$105=AP111)*(DD$3:DD$105=AP112)*(DE$3:DE$105="D"))</f>
        <v>0</v>
      </c>
      <c r="AS112" s="231">
        <f>SUMPRODUCT((DA$3:DA$105=AP112)*(DD$3:DD$105=AP113)*(DE$3:DE$105="L"))+SUMPRODUCT((DA$3:DA$105=AP112)*(DD$3:DD$105=AP114)*(DE$3:DE$105="L"))+SUMPRODUCT((DA$3:DA$105=AP112)*(DD$3:DD$105=AP111)*(DE$3:DE$105="L"))+SUMPRODUCT((DA$3:DA$105=AP113)*(DD$3:DD$105=AP112)*(DF$3:DF$105="L"))+SUMPRODUCT((DA$3:DA$105=AP114)*(DD$3:DD$105=AP112)*(DF$3:DF$105="L"))+SUMPRODUCT((DA$3:DA$105=AP111)*(DD$3:DD$105=AP112)*(DF$3:DF$105="L"))</f>
        <v>0</v>
      </c>
      <c r="AT112" s="231">
        <f>SUMPRODUCT((DA$3:DA$105=AP112)*(DD$3:DD$105=AP113)*DB$3:DB$105)+SUMPRODUCT((DA$3:DA$105=AP112)*(DD$3:DD$105=AP114)*DB$3:DB$105)+SUMPRODUCT((DA$3:DA$105=AP112)*(DD$3:DD$105=AP110)*DB$3:DB$105)+SUMPRODUCT((DA$3:DA$105=AP112)*(DD$3:DD$105=AP111)*DB$3:DB$105)+SUMPRODUCT((DA$3:DA$105=AP113)*(DD$3:DD$105=AP112)*DC$3:DC$105)+SUMPRODUCT((DA$3:DA$105=AP114)*(DD$3:DD$105=AP112)*DC$3:DC$105)+SUMPRODUCT((DA$3:DA$105=AP110)*(DD$3:DD$105=AP112)*DC$3:DC$105)+SUMPRODUCT((DA$3:DA$105=AP111)*(DD$3:DD$105=AP112)*DC$3:DC$105)</f>
        <v>0</v>
      </c>
      <c r="AU112" s="231">
        <f>SUMPRODUCT((DA$3:DA$105=AP112)*(DD$3:DD$105=AP113)*DC$3:DC$105)+SUMPRODUCT((DA$3:DA$105=AP112)*(DD$3:DD$105=AP114)*DC$3:DC$105)+SUMPRODUCT((DA$3:DA$105=AP112)*(DD$3:DD$105=AP110)*DC$3:DC$105)+SUMPRODUCT((DA$3:DA$105=AP112)*(DD$3:DD$105=AP111)*DC$3:DC$105)+SUMPRODUCT((DA$3:DA$105=AP113)*(DD$3:DD$105=AP112)*DB$3:DB$105)+SUMPRODUCT((DA$3:DA$105=AP114)*(DD$3:DD$105=AP112)*DB$3:DB$105)+SUMPRODUCT((DA$3:DA$105=AP110)*(DD$3:DD$105=AP112)*DB$3:DB$105)+SUMPRODUCT((DA$3:DA$105=AP111)*(DD$3:DD$105=AP112)*DB$3:DB$105)</f>
        <v>0</v>
      </c>
      <c r="AV112" s="231">
        <f>AT112-AU112+1000</f>
        <v>1000</v>
      </c>
      <c r="AW112" s="231" t="str">
        <f t="shared" si="191"/>
        <v/>
      </c>
      <c r="AX112" s="231" t="str">
        <f>IF(AP112&lt;&gt;"",VLOOKUP(AP112,C$4:I$52,7,FALSE),"")</f>
        <v/>
      </c>
      <c r="AY112" s="231" t="str">
        <f>IF(AP112&lt;&gt;"",VLOOKUP(AP112,C$4:I$52,5,FALSE),"")</f>
        <v/>
      </c>
      <c r="AZ112" s="231" t="str">
        <f>IF(AP112&lt;&gt;"",VLOOKUP(AP112,C$4:K$52,9,FALSE),"")</f>
        <v/>
      </c>
      <c r="BA112" s="231" t="str">
        <f t="shared" si="192"/>
        <v/>
      </c>
      <c r="BB112" s="231" t="str">
        <f>IF(AP112&lt;&gt;"",RANK(BA112,BA110:BA113),"")</f>
        <v/>
      </c>
      <c r="BC112" s="231" t="str">
        <f>IF(AP112&lt;&gt;"",SUMPRODUCT((BA110:BA113=BA112)*(AV110:AV113&gt;AV112)),"")</f>
        <v/>
      </c>
      <c r="BD112" s="231" t="str">
        <f>IF(AP112&lt;&gt;"",SUMPRODUCT((BA110:BA113=BA112)*(AV110:AV113=AV112)*(AT110:AT113&gt;AT112)),"")</f>
        <v/>
      </c>
      <c r="BE112" s="231" t="str">
        <f>IF(AP112&lt;&gt;"",SUMPRODUCT((BA110:BA113=BA112)*(AV110:AV113=AV112)*(AT110:AT113=AT112)*(AX110:AX113&gt;AX112)),"")</f>
        <v/>
      </c>
      <c r="BF112" s="231" t="str">
        <f>IF(AP112&lt;&gt;"",SUMPRODUCT((BA110:BA113=BA112)*(AV110:AV113=AV112)*(AT110:AT113=AT112)*(AX110:AX113=AX112)*(AY110:AY113&gt;AY112)),"")</f>
        <v/>
      </c>
      <c r="BG112" s="231" t="str">
        <f>IF(AP112&lt;&gt;"",SUMPRODUCT((BA110:BA113=BA112)*(AV110:AV113=AV112)*(AT110:AT113=AT112)*(AX110:AX113=AX112)*(AY110:AY113=AY112)*(AZ110:AZ113&gt;AZ112)),"")</f>
        <v/>
      </c>
      <c r="BH112" s="231" t="str">
        <f t="shared" ref="BH112:BH113" si="193">IF(AP112&lt;&gt;"",SUM(BB112:BG112)+1,"")</f>
        <v/>
      </c>
      <c r="DS112" s="233" t="str">
        <f>Matches!M101</f>
        <v>Match 90 Winner</v>
      </c>
      <c r="DU112" s="233" t="str">
        <f>IF(ISERROR("Calculator!"&amp;VLOOKUP(DS112,Calculator!$DS$7:$DT$54,2,FALSE)),"Calculator!dr77","Calculator!"&amp;VLOOKUP(DS112,Calculator!$DS$7:$DT$54,2,FALSE))</f>
        <v>Calculator!dr77</v>
      </c>
      <c r="DX112" s="230"/>
      <c r="DY112" s="230"/>
      <c r="DZ112" s="230"/>
      <c r="EA112" s="247"/>
      <c r="EB112" s="230"/>
      <c r="EC112" s="230"/>
    </row>
    <row r="113" spans="10:133" x14ac:dyDescent="0.25">
      <c r="J113" s="231">
        <f>IF(COUNTIF(J$31:J$34,4)=4,1,SUMPRODUCT((J$31:J$34=J34)*(I$31:I$34=I34)*(G$31:G$34&gt;G34))+1)</f>
        <v>1</v>
      </c>
      <c r="U113" s="231">
        <f>IF(V34&lt;&gt;"",SUMPRODUCT((AC31:AC34=AC34)*(AB31:AB34=AB34)*(Z31:Z34=Z34)*(AA31:AA34=AA34)),"")</f>
        <v>4</v>
      </c>
      <c r="V113" s="231" t="str">
        <f>IF(AND(U113&lt;&gt;"",U113&gt;1),V34,"")</f>
        <v>Germany</v>
      </c>
      <c r="W113" s="231">
        <f>SUMPRODUCT((DA$3:DA$105=V113)*(DD$3:DD$105=V114)*(DE$3:DE$105="W"))+SUMPRODUCT((DA$3:DA$105=V113)*(DD$3:DD$105=V110)*(DE$3:DE$105="W"))+SUMPRODUCT((DA$3:DA$105=V113)*(DD$3:DD$105=V111)*(DE$3:DE$105="W"))+SUMPRODUCT((DA$3:DA$105=V113)*(DD$3:DD$105=V112)*(DE$3:DE$105="W"))+SUMPRODUCT((DA$3:DA$105=V114)*(DD$3:DD$105=V113)*(DF$3:DF$105="W"))+SUMPRODUCT((DA$3:DA$105=V110)*(DD$3:DD$105=V113)*(DF$3:DF$105="W"))+SUMPRODUCT((DA$3:DA$105=V111)*(DD$3:DD$105=V113)*(DF$3:DF$105="W"))+SUMPRODUCT((DA$3:DA$105=V112)*(DD$3:DD$105=V113)*(DF$3:DF$105="W"))</f>
        <v>0</v>
      </c>
      <c r="X113" s="231">
        <f>SUMPRODUCT((DA$3:DA$105=V113)*(DD$3:DD$105=V114)*(DE$3:DE$105="D"))+SUMPRODUCT((DA$3:DA$105=V113)*(DD$3:DD$105=V110)*(DE$3:DE$105="D"))+SUMPRODUCT((DA$3:DA$105=V113)*(DD$3:DD$105=V111)*(DE$3:DE$105="D"))+SUMPRODUCT((DA$3:DA$105=V113)*(DD$3:DD$105=V112)*(DE$3:DE$105="D"))+SUMPRODUCT((DA$3:DA$105=V114)*(DD$3:DD$105=V113)*(DE$3:DE$105="D"))+SUMPRODUCT((DA$3:DA$105=V110)*(DD$3:DD$105=V113)*(DE$3:DE$105="D"))+SUMPRODUCT((DA$3:DA$105=V111)*(DD$3:DD$105=V113)*(DE$3:DE$105="D"))+SUMPRODUCT((DA$3:DA$105=V112)*(DD$3:DD$105=V113)*(DE$3:DE$105="D"))</f>
        <v>0</v>
      </c>
      <c r="Y113" s="231">
        <f>SUMPRODUCT((DA$3:DA$105=V113)*(DD$3:DD$105=V114)*(DE$3:DE$105="L"))+SUMPRODUCT((DA$3:DA$105=V113)*(DD$3:DD$105=V110)*(DE$3:DE$105="L"))+SUMPRODUCT((DA$3:DA$105=V113)*(DD$3:DD$105=V111)*(DE$3:DE$105="L"))+SUMPRODUCT((DA$3:DA$105=V113)*(DD$3:DD$105=V112)*(DE$3:DE$105="L"))+SUMPRODUCT((DA$3:DA$105=V114)*(DD$3:DD$105=V113)*(DF$3:DF$105="L"))+SUMPRODUCT((DA$3:DA$105=V110)*(DD$3:DD$105=V113)*(DF$3:DF$105="L"))+SUMPRODUCT((DA$3:DA$105=V111)*(DD$3:DD$105=V113)*(DF$3:DF$105="L"))+SUMPRODUCT((DA$3:DA$105=V112)*(DD$3:DD$105=V113)*(DF$3:DF$105="L"))</f>
        <v>0</v>
      </c>
      <c r="Z113" s="231">
        <f>SUMPRODUCT((DA$3:DA$105=V113)*(DD$3:DD$105=V114)*DB$3:DB$105)+SUMPRODUCT((DA$3:DA$105=V113)*(DD$3:DD$105=V110)*DB$3:DB$105)+SUMPRODUCT((DA$3:DA$105=V113)*(DD$3:DD$105=V111)*DB$3:DB$105)+SUMPRODUCT((DA$3:DA$105=V113)*(DD$3:DD$105=V112)*DB$3:DB$105)+SUMPRODUCT((DA$3:DA$105=V114)*(DD$3:DD$105=V113)*DC$3:DC$105)+SUMPRODUCT((DA$3:DA$105=V110)*(DD$3:DD$105=V113)*DC$3:DC$105)+SUMPRODUCT((DA$3:DA$105=V111)*(DD$3:DD$105=V113)*DC$3:DC$105)+SUMPRODUCT((DA$3:DA$105=V112)*(DD$3:DD$105=V113)*DC$3:DC$105)</f>
        <v>0</v>
      </c>
      <c r="AA113" s="231">
        <f>SUMPRODUCT((DA$3:DA$105=V113)*(DD$3:DD$105=V114)*DC$3:DC$105)+SUMPRODUCT((DA$3:DA$105=V113)*(DD$3:DD$105=V110)*DC$3:DC$105)+SUMPRODUCT((DA$3:DA$105=V113)*(DD$3:DD$105=V111)*DC$3:DC$105)+SUMPRODUCT((DA$3:DA$105=V113)*(DD$3:DD$105=V112)*DC$3:DC$105)+SUMPRODUCT((DA$3:DA$105=V114)*(DD$3:DD$105=V113)*DB$3:DB$105)+SUMPRODUCT((DA$3:DA$105=V110)*(DD$3:DD$105=V113)*DB$3:DB$105)+SUMPRODUCT((DA$3:DA$105=V111)*(DD$3:DD$105=V113)*DB$3:DB$105)+SUMPRODUCT((DA$3:DA$105=V112)*(DD$3:DD$105=V113)*DB$3:DB$105)</f>
        <v>0</v>
      </c>
      <c r="AB113" s="231">
        <f>Z113-AA113+1000</f>
        <v>1000</v>
      </c>
      <c r="AC113" s="231">
        <f t="shared" si="189"/>
        <v>0</v>
      </c>
      <c r="AD113" s="231">
        <f>IF(V113&lt;&gt;"",VLOOKUP(V113,C$4:I$52,7,FALSE),"")</f>
        <v>1000</v>
      </c>
      <c r="AE113" s="231">
        <f>IF(V113&lt;&gt;"",VLOOKUP(V113,C$4:I$52,5,FALSE),"")</f>
        <v>0</v>
      </c>
      <c r="AF113" s="231">
        <f>IF(V113&lt;&gt;"",VLOOKUP(V113,C$4:K$52,9,FALSE),"")</f>
        <v>-110</v>
      </c>
      <c r="AG113" s="231">
        <f t="shared" si="190"/>
        <v>0</v>
      </c>
      <c r="AH113" s="231">
        <f>IF(V113&lt;&gt;"",RANK(AG113,AG110:AG113),"")</f>
        <v>1</v>
      </c>
      <c r="AI113" s="231">
        <f>IF(V113&lt;&gt;"",SUMPRODUCT((AG110:AG113=AG113)*(AB110:AB113&gt;AB113)),"")</f>
        <v>0</v>
      </c>
      <c r="AJ113" s="231">
        <f>IF(V113&lt;&gt;"",SUMPRODUCT((AG110:AG113=AG113)*(AB110:AB113=AB113)*(Z110:Z113&gt;Z113)),"")</f>
        <v>0</v>
      </c>
      <c r="AK113" s="231">
        <f>IF(V113&lt;&gt;"",SUMPRODUCT((AG110:AG113=AG113)*(AB110:AB113=AB113)*(Z110:Z113=Z113)*(AD110:AD113&gt;AD113)),"")</f>
        <v>0</v>
      </c>
      <c r="AL113" s="231">
        <f>IF(V113&lt;&gt;"",SUMPRODUCT((AG110:AG113=AG113)*(AB110:AB113=AB113)*(Z110:Z113=Z113)*(AD110:AD113=AD113)*(AE110:AE113&gt;AE113)),"")</f>
        <v>0</v>
      </c>
      <c r="AM113" s="231">
        <f>IF(V113&lt;&gt;"",SUMPRODUCT((AG110:AG113=AG113)*(AB110:AB113=AB113)*(Z110:Z113=Z113)*(AD110:AD113=AD113)*(AE110:AE113=AE113)*(AF110:AF113&gt;AF113)),"")</f>
        <v>0</v>
      </c>
      <c r="AN113" s="231">
        <f>IF(V113&lt;&gt;"",SUM(AH113:AM113),"")</f>
        <v>1</v>
      </c>
      <c r="AO113" s="231" t="str">
        <f>IF(AP34&lt;&gt;"",SUMPRODUCT((AW31:AW34=AW34)*(AV31:AV34=AV34)*(AT31:AT34=AT34)*(AU31:AU34=AU34)),"")</f>
        <v/>
      </c>
      <c r="AP113" s="231" t="str">
        <f>IF(AND(AO113&lt;&gt;"",AO113&gt;1),AP34,"")</f>
        <v/>
      </c>
      <c r="AQ113" s="231" t="str">
        <f>IF(AP113&lt;&gt;"",SUMPRODUCT((DA$3:DA$105=AP113)*(DD$3:DD$105=AP114)*(DE$3:DE$105="W"))+SUMPRODUCT((DA$3:DA$105=AP113)*(DD$3:DD$105=AP111)*(DE$3:DE$105="W"))+SUMPRODUCT((DA$3:DA$105=AP113)*(DD$3:DD$105=AP112)*(DE$3:DE$105="W"))+SUMPRODUCT((DA$3:DA$105=AP114)*(DD$3:DD$105=AP113)*(DF$3:DF$105="W"))+SUMPRODUCT((DA$3:DA$105=AP111)*(DD$3:DD$105=AP113)*(DF$3:DF$105="W"))+SUMPRODUCT((DA$3:DA$105=AP112)*(DD$3:DD$105=AP113)*(DF$3:DF$105="W")),"")</f>
        <v/>
      </c>
      <c r="AR113" s="231" t="str">
        <f>IF(AP113&lt;&gt;"",SUMPRODUCT((DA$3:DA$105=AP113)*(DD$3:DD$105=AP114)*(DE$3:DE$105="D"))+SUMPRODUCT((DA$3:DA$105=AP113)*(DD$3:DD$105=AP111)*(DE$3:DE$105="D"))+SUMPRODUCT((DA$3:DA$105=AP113)*(DD$3:DD$105=AP112)*(DE$3:DE$105="D"))+SUMPRODUCT((DA$3:DA$105=AP114)*(DD$3:DD$105=AP113)*(DE$3:DE$105="D"))+SUMPRODUCT((DA$3:DA$105=AP111)*(DD$3:DD$105=AP113)*(DE$3:DE$105="D"))+SUMPRODUCT((DA$3:DA$105=AP112)*(DD$3:DD$105=AP113)*(DE$3:DE$105="D")),"")</f>
        <v/>
      </c>
      <c r="AS113" s="231" t="str">
        <f>IF(AP113&lt;&gt;"",SUMPRODUCT((DA$3:DA$105=AP113)*(DD$3:DD$105=AP114)*(DE$3:DE$105="L"))+SUMPRODUCT((DA$3:DA$105=AP113)*(DD$3:DD$105=AP111)*(DE$3:DE$105="L"))+SUMPRODUCT((DA$3:DA$105=AP113)*(DD$3:DD$105=AP112)*(DE$3:DE$105="L"))+SUMPRODUCT((DA$3:DA$105=AP114)*(DD$3:DD$105=AP113)*(DF$3:DF$105="L"))+SUMPRODUCT((DA$3:DA$105=AP111)*(DD$3:DD$105=AP113)*(DF$3:DF$105="L"))+SUMPRODUCT((DA$3:DA$105=AP112)*(DD$3:DD$105=AP113)*(DF$3:DF$105="L")),"")</f>
        <v/>
      </c>
      <c r="AT113" s="231">
        <f>SUMPRODUCT((DA$3:DA$105=AP113)*(DD$3:DD$105=AP114)*DB$3:DB$105)+SUMPRODUCT((DA$3:DA$105=AP113)*(DD$3:DD$105=AP110)*DB$3:DB$105)+SUMPRODUCT((DA$3:DA$105=AP113)*(DD$3:DD$105=AP111)*DB$3:DB$105)+SUMPRODUCT((DA$3:DA$105=AP113)*(DD$3:DD$105=AP112)*DB$3:DB$105)+SUMPRODUCT((DA$3:DA$105=AP114)*(DD$3:DD$105=AP113)*DC$3:DC$105)+SUMPRODUCT((DA$3:DA$105=AP110)*(DD$3:DD$105=AP113)*DC$3:DC$105)+SUMPRODUCT((DA$3:DA$105=AP111)*(DD$3:DD$105=AP113)*DC$3:DC$105)+SUMPRODUCT((DA$3:DA$105=AP112)*(DD$3:DD$105=AP113)*DC$3:DC$105)</f>
        <v>0</v>
      </c>
      <c r="AU113" s="231">
        <f>SUMPRODUCT((DA$3:DA$105=AP113)*(DD$3:DD$105=AP114)*DC$3:DC$105)+SUMPRODUCT((DA$3:DA$105=AP113)*(DD$3:DD$105=AP110)*DC$3:DC$105)+SUMPRODUCT((DA$3:DA$105=AP113)*(DD$3:DD$105=AP111)*DC$3:DC$105)+SUMPRODUCT((DA$3:DA$105=AP113)*(DD$3:DD$105=AP112)*DC$3:DC$105)+SUMPRODUCT((DA$3:DA$105=AP114)*(DD$3:DD$105=AP113)*DB$3:DB$105)+SUMPRODUCT((DA$3:DA$105=AP110)*(DD$3:DD$105=AP113)*DB$3:DB$105)+SUMPRODUCT((DA$3:DA$105=AP111)*(DD$3:DD$105=AP113)*DB$3:DB$105)+SUMPRODUCT((DA$3:DA$105=AP112)*(DD$3:DD$105=AP113)*DB$3:DB$105)</f>
        <v>0</v>
      </c>
      <c r="AV113" s="231">
        <f>AT113-AU113+1000</f>
        <v>1000</v>
      </c>
      <c r="AW113" s="231" t="str">
        <f t="shared" si="191"/>
        <v/>
      </c>
      <c r="AX113" s="231" t="str">
        <f>IF(AP113&lt;&gt;"",VLOOKUP(AP113,C$4:I$52,7,FALSE),"")</f>
        <v/>
      </c>
      <c r="AY113" s="231" t="str">
        <f>IF(AP113&lt;&gt;"",VLOOKUP(AP113,C$4:I$52,5,FALSE),"")</f>
        <v/>
      </c>
      <c r="AZ113" s="231" t="str">
        <f>IF(AP113&lt;&gt;"",VLOOKUP(AP113,C$4:K$52,9,FALSE),"")</f>
        <v/>
      </c>
      <c r="BA113" s="231" t="str">
        <f t="shared" si="192"/>
        <v/>
      </c>
      <c r="BB113" s="231" t="str">
        <f>IF(AP113&lt;&gt;"",RANK(BA113,BA110:BA113),"")</f>
        <v/>
      </c>
      <c r="BC113" s="231" t="str">
        <f>IF(AP113&lt;&gt;"",SUMPRODUCT((BA110:BA113=BA113)*(AV110:AV113&gt;AV113)),"")</f>
        <v/>
      </c>
      <c r="BD113" s="231" t="str">
        <f>IF(AP113&lt;&gt;"",SUMPRODUCT((BA110:BA113=BA113)*(AV110:AV113=AV113)*(AT110:AT113&gt;AT113)),"")</f>
        <v/>
      </c>
      <c r="BE113" s="231" t="str">
        <f>IF(AP113&lt;&gt;"",SUMPRODUCT((BA110:BA113=BA113)*(AV110:AV113=AV113)*(AT110:AT113=AT113)*(AX110:AX113&gt;AX113)),"")</f>
        <v/>
      </c>
      <c r="BF113" s="231" t="str">
        <f>IF(AP113&lt;&gt;"",SUMPRODUCT((BA110:BA113=BA113)*(AV110:AV113=AV113)*(AT110:AT113=AT113)*(AX110:AX113=AX113)*(AY110:AY113&gt;AY113)),"")</f>
        <v/>
      </c>
      <c r="BG113" s="231" t="str">
        <f>IF(AP113&lt;&gt;"",SUMPRODUCT((BA110:BA113=BA113)*(AV110:AV113=AV113)*(AT110:AT113=AT113)*(AX110:AX113=AX113)*(AY110:AY113=AY113)*(AZ110:AZ113&gt;AZ113)),"")</f>
        <v/>
      </c>
      <c r="BH113" s="231" t="str">
        <f t="shared" si="193"/>
        <v/>
      </c>
      <c r="DS113" s="233" t="str">
        <f>Matches!M102</f>
        <v>Match 94 Winner</v>
      </c>
      <c r="DU113" s="233" t="str">
        <f>IF(ISERROR("Calculator!"&amp;VLOOKUP(DS113,Calculator!$DS$7:$DT$54,2,FALSE)),"Calculator!dr77","Calculator!"&amp;VLOOKUP(DS113,Calculator!$DS$7:$DT$54,2,FALSE))</f>
        <v>Calculator!dr77</v>
      </c>
      <c r="DX113" s="230"/>
      <c r="DY113" s="230"/>
      <c r="DZ113" s="230"/>
      <c r="EA113" s="247"/>
      <c r="EB113" s="230"/>
      <c r="EC113" s="230"/>
    </row>
    <row r="114" spans="10:133" x14ac:dyDescent="0.25">
      <c r="DS114" s="233" t="str">
        <f>Matches!M103</f>
        <v>Match 92 Winner</v>
      </c>
      <c r="DU114" s="233" t="str">
        <f>IF(ISERROR("Calculator!"&amp;VLOOKUP(DS114,Calculator!$DS$7:$DT$54,2,FALSE)),"Calculator!dr77","Calculator!"&amp;VLOOKUP(DS114,Calculator!$DS$7:$DT$54,2,FALSE))</f>
        <v>Calculator!dr77</v>
      </c>
      <c r="DX114" s="230"/>
      <c r="DY114" s="230"/>
      <c r="DZ114" s="230"/>
      <c r="EA114" s="247"/>
      <c r="EB114" s="230"/>
      <c r="EC114" s="230"/>
    </row>
    <row r="115" spans="10:133" x14ac:dyDescent="0.25">
      <c r="U115" s="231">
        <f>IF(V116="",SUM(AH37:AM37),IF(V117="",SUM(AH38:AM38),IF(V118="",SUM(AH39:AM39),IF(V119="",SUM(AH40:AM40),0))))</f>
        <v>0</v>
      </c>
      <c r="AO115" s="231">
        <f>IF(AP117="",SUM(BB38:BG38),IF(AP118="",SUM(BB39:BG39),IF(AP119="",SUM(BB40:BG40),0)))</f>
        <v>0</v>
      </c>
      <c r="DS115" s="233" t="str">
        <f>Matches!M104</f>
        <v>Match 96 Winner</v>
      </c>
      <c r="DU115" s="233" t="str">
        <f>IF(ISERROR("Calculator!"&amp;VLOOKUP(DS115,Calculator!$DS$7:$DT$54,2,FALSE)),"Calculator!dr77","Calculator!"&amp;VLOOKUP(DS115,Calculator!$DS$7:$DT$54,2,FALSE))</f>
        <v>Calculator!dr77</v>
      </c>
      <c r="DX115" s="230"/>
      <c r="DY115" s="230"/>
      <c r="DZ115" s="230"/>
      <c r="EA115" s="247"/>
      <c r="EB115" s="230"/>
      <c r="EC115" s="230"/>
    </row>
    <row r="116" spans="10:133" x14ac:dyDescent="0.25">
      <c r="J116" s="231">
        <f>IF(COUNTIF(J$37:J$40,4)=4,1,SUMPRODUCT((J$37:J$40=J37)*(I$37:I$40=I37)*(G$37:G$40&gt;G37))+1)</f>
        <v>1</v>
      </c>
      <c r="U116" s="231">
        <f>IF(V37&lt;&gt;"",SUMPRODUCT((AC37:AC40=AC37)*(AB37:AB40=AB37)*(Z37:Z40=Z37)*(AA37:AA40=AA37)),"")</f>
        <v>4</v>
      </c>
      <c r="V116" s="231" t="str">
        <f>IF(AND(U116&lt;&gt;"",U116&gt;1),V37,"")</f>
        <v>Tunisia</v>
      </c>
      <c r="W116" s="231">
        <f>SUMPRODUCT((DA$3:DA$105=V116)*(DD$3:DD$105=V117)*(DE$3:DE$105="W"))+SUMPRODUCT((DA$3:DA$105=V116)*(DD$3:DD$105=V118)*(DE$3:DE$105="W"))+SUMPRODUCT((DA$3:DA$105=V116)*(DD$3:DD$105=V119)*(DE$3:DE$105="W"))+SUMPRODUCT((DA$3:DA$105=V116)*(DD$3:DD$105=V120)*(DE$3:DE$105="W"))+SUMPRODUCT((DA$3:DA$105=V117)*(DD$3:DD$105=V116)*(DF$3:DF$105="W"))+SUMPRODUCT((DA$3:DA$105=V118)*(DD$3:DD$105=V116)*(DF$3:DF$105="W"))+SUMPRODUCT((DA$3:DA$105=V119)*(DD$3:DD$105=V116)*(DF$3:DF$105="W"))+SUMPRODUCT((DA$3:DA$105=V120)*(DD$3:DD$105=V116)*(DF$3:DF$105="W"))</f>
        <v>0</v>
      </c>
      <c r="X116" s="231">
        <f>SUMPRODUCT((DA$3:DA$105=V116)*(DD$3:DD$105=V117)*(DE$3:DE$105="D"))+SUMPRODUCT((DA$3:DA$105=V116)*(DD$3:DD$105=V118)*(DE$3:DE$105="D"))+SUMPRODUCT((DA$3:DA$105=V116)*(DD$3:DD$105=V119)*(DE$3:DE$105="D"))+SUMPRODUCT((DA$3:DA$105=V116)*(DD$3:DD$105=V120)*(DE$3:DE$105="D"))+SUMPRODUCT((DA$3:DA$105=V117)*(DD$3:DD$105=V116)*(DE$3:DE$105="D"))+SUMPRODUCT((DA$3:DA$105=V118)*(DD$3:DD$105=V116)*(DE$3:DE$105="D"))+SUMPRODUCT((DA$3:DA$105=V119)*(DD$3:DD$105=V116)*(DE$3:DE$105="D"))+SUMPRODUCT((DA$3:DA$105=V120)*(DD$3:DD$105=V116)*(DE$3:DE$105="D"))</f>
        <v>0</v>
      </c>
      <c r="Y116" s="231">
        <f>SUMPRODUCT((DA$3:DA$105=V116)*(DD$3:DD$105=V117)*(DE$3:DE$105="L"))+SUMPRODUCT((DA$3:DA$105=V116)*(DD$3:DD$105=V118)*(DE$3:DE$105="L"))+SUMPRODUCT((DA$3:DA$105=V116)*(DD$3:DD$105=V119)*(DE$3:DE$105="L"))+SUMPRODUCT((DA$3:DA$105=V116)*(DD$3:DD$105=V120)*(DE$3:DE$105="L"))+SUMPRODUCT((DA$3:DA$105=V117)*(DD$3:DD$105=V116)*(DF$3:DF$105="L"))+SUMPRODUCT((DA$3:DA$105=V118)*(DD$3:DD$105=V116)*(DF$3:DF$105="L"))+SUMPRODUCT((DA$3:DA$105=V119)*(DD$3:DD$105=V116)*(DF$3:DF$105="L"))+SUMPRODUCT((DA$3:DA$105=V120)*(DD$3:DD$105=V116)*(DF$3:DF$105="L"))</f>
        <v>0</v>
      </c>
      <c r="Z116" s="231">
        <f>SUMPRODUCT((DA$3:DA$105=V116)*(DD$3:DD$105=V117)*DB$3:DB$105)+SUMPRODUCT((DA$3:DA$105=V116)*(DD$3:DD$105=V118)*DB$3:DB$105)+SUMPRODUCT((DA$3:DA$105=V116)*(DD$3:DD$105=V119)*DB$3:DB$105)+SUMPRODUCT((DA$3:DA$105=V116)*(DD$3:DD$105=V120)*DB$3:DB$105)+SUMPRODUCT((DA$3:DA$105=V117)*(DD$3:DD$105=V116)*DC$3:DC$105)+SUMPRODUCT((DA$3:DA$105=V118)*(DD$3:DD$105=V116)*DC$3:DC$105)+SUMPRODUCT((DA$3:DA$105=V119)*(DD$3:DD$105=V116)*DC$3:DC$105)+SUMPRODUCT((DA$3:DA$105=V120)*(DD$3:DD$105=V116)*DC$3:DC$105)</f>
        <v>0</v>
      </c>
      <c r="AA116" s="231">
        <f>SUMPRODUCT((DA$3:DA$105=V116)*(DD$3:DD$105=V117)*DC$3:DC$105)+SUMPRODUCT((DA$3:DA$105=V116)*(DD$3:DD$105=V118)*DC$3:DC$105)+SUMPRODUCT((DA$3:DA$105=V116)*(DD$3:DD$105=V119)*DC$3:DC$105)+SUMPRODUCT((DA$3:DA$105=V116)*(DD$3:DD$105=V120)*DC$3:DC$105)+SUMPRODUCT((DA$3:DA$105=V117)*(DD$3:DD$105=V116)*DB$3:DB$105)+SUMPRODUCT((DA$3:DA$105=V118)*(DD$3:DD$105=V116)*DB$3:DB$105)+SUMPRODUCT((DA$3:DA$105=V119)*(DD$3:DD$105=V116)*DB$3:DB$105)+SUMPRODUCT((DA$3:DA$105=V120)*(DD$3:DD$105=V116)*DB$3:DB$105)</f>
        <v>0</v>
      </c>
      <c r="AB116" s="231">
        <f>Z116-AA116+1000</f>
        <v>1000</v>
      </c>
      <c r="AC116" s="231">
        <f>IF(V116&lt;&gt;"",W116*3+X116*1,"")</f>
        <v>0</v>
      </c>
      <c r="AD116" s="231">
        <f>IF(V116&lt;&gt;"",VLOOKUP(V116,C$4:I$52,7,FALSE),"")</f>
        <v>1000</v>
      </c>
      <c r="AE116" s="231">
        <f>IF(V116&lt;&gt;"",VLOOKUP(V116,C$4:I$52,5,FALSE),"")</f>
        <v>0</v>
      </c>
      <c r="AF116" s="231">
        <f>IF(V116&lt;&gt;"",VLOOKUP(V116,C$4:K$52,9,FALSE),"")</f>
        <v>-147</v>
      </c>
      <c r="AG116" s="231">
        <f>AC116</f>
        <v>0</v>
      </c>
      <c r="AH116" s="231">
        <f>IF(V116&lt;&gt;"",RANK(AG116,AG116:AG119),"")</f>
        <v>1</v>
      </c>
      <c r="AI116" s="231">
        <f>IF(V116&lt;&gt;"",SUMPRODUCT((AG116:AG119=AG116)*(AB116:AB119&gt;AB116)),"")</f>
        <v>0</v>
      </c>
      <c r="AJ116" s="231">
        <f>IF(V116&lt;&gt;"",SUMPRODUCT((AG116:AG119=AG116)*(AB116:AB119=AB116)*(Z116:Z119&gt;Z116)),"")</f>
        <v>0</v>
      </c>
      <c r="AK116" s="231">
        <f>IF(V116&lt;&gt;"",SUMPRODUCT((AG116:AG119=AG116)*(AB116:AB119=AB116)*(Z116:Z119=Z116)*(AD116:AD119&gt;AD116)),"")</f>
        <v>0</v>
      </c>
      <c r="AL116" s="231">
        <f>IF(V116&lt;&gt;"",SUMPRODUCT((AG116:AG119=AG116)*(AB116:AB119=AB116)*(Z116:Z119=Z116)*(AD116:AD119=AD116)*(AE116:AE119&gt;AE116)),"")</f>
        <v>0</v>
      </c>
      <c r="AM116" s="231">
        <f>IF(V116&lt;&gt;"",SUMPRODUCT((AG116:AG119=AG116)*(AB116:AB119=AB116)*(Z116:Z119=Z116)*(AD116:AD119=AD116)*(AE116:AE119=AE116)*(AF116:AF119&gt;AF116)),"")</f>
        <v>3</v>
      </c>
      <c r="AN116" s="231">
        <f>IF(V116&lt;&gt;"",SUM(AH116:AM116),"")</f>
        <v>4</v>
      </c>
      <c r="DS116" s="233" t="str">
        <f>Matches!M105</f>
        <v>Match 98 Winner</v>
      </c>
      <c r="DU116" s="233" t="str">
        <f>IF(ISERROR("Calculator!"&amp;VLOOKUP(DS116,Calculator!$DS$7:$DT$54,2,FALSE)),"Calculator!dr77","Calculator!"&amp;VLOOKUP(DS116,Calculator!$DS$7:$DT$54,2,FALSE))</f>
        <v>Calculator!dr77</v>
      </c>
      <c r="DX116" s="230"/>
      <c r="DY116" s="230"/>
      <c r="DZ116" s="230"/>
      <c r="EA116" s="247"/>
      <c r="EB116" s="230"/>
      <c r="EC116" s="230"/>
    </row>
    <row r="117" spans="10:133" x14ac:dyDescent="0.25">
      <c r="J117" s="231">
        <f>IF(COUNTIF(J$37:J$40,4)=4,1,SUMPRODUCT((J$37:J$40=J38)*(I$37:I$40=I38)*(G$37:G$40&gt;G38))+1)</f>
        <v>1</v>
      </c>
      <c r="U117" s="231">
        <f>IF(V38&lt;&gt;"",SUMPRODUCT((AC37:AC40=AC38)*(AB37:AB40=AB38)*(Z37:Z40=Z38)*(AA37:AA40=AA38)),"")</f>
        <v>4</v>
      </c>
      <c r="V117" s="231" t="str">
        <f>IF(AND(U117&lt;&gt;"",U117&gt;1),V38,"")</f>
        <v>Sweden</v>
      </c>
      <c r="W117" s="231">
        <f>SUMPRODUCT((DA$3:DA$105=V117)*(DD$3:DD$105=V118)*(DE$3:DE$105="W"))+SUMPRODUCT((DA$3:DA$105=V117)*(DD$3:DD$105=V119)*(DE$3:DE$105="W"))+SUMPRODUCT((DA$3:DA$105=V117)*(DD$3:DD$105=V120)*(DE$3:DE$105="W"))+SUMPRODUCT((DA$3:DA$105=V117)*(DD$3:DD$105=V116)*(DE$3:DE$105="W"))+SUMPRODUCT((DA$3:DA$105=V118)*(DD$3:DD$105=V117)*(DF$3:DF$105="W"))+SUMPRODUCT((DA$3:DA$105=V119)*(DD$3:DD$105=V117)*(DF$3:DF$105="W"))+SUMPRODUCT((DA$3:DA$105=V120)*(DD$3:DD$105=V117)*(DF$3:DF$105="W"))+SUMPRODUCT((DA$3:DA$105=V116)*(DD$3:DD$105=V117)*(DF$3:DF$105="W"))</f>
        <v>0</v>
      </c>
      <c r="X117" s="231">
        <f>SUMPRODUCT((DA$3:DA$105=V117)*(DD$3:DD$105=V118)*(DE$3:DE$105="D"))+SUMPRODUCT((DA$3:DA$105=V117)*(DD$3:DD$105=V119)*(DE$3:DE$105="D"))+SUMPRODUCT((DA$3:DA$105=V117)*(DD$3:DD$105=V120)*(DE$3:DE$105="D"))+SUMPRODUCT((DA$3:DA$105=V117)*(DD$3:DD$105=V116)*(DE$3:DE$105="D"))+SUMPRODUCT((DA$3:DA$105=V118)*(DD$3:DD$105=V117)*(DE$3:DE$105="D"))+SUMPRODUCT((DA$3:DA$105=V119)*(DD$3:DD$105=V117)*(DE$3:DE$105="D"))+SUMPRODUCT((DA$3:DA$105=V120)*(DD$3:DD$105=V117)*(DE$3:DE$105="D"))+SUMPRODUCT((DA$3:DA$105=V116)*(DD$3:DD$105=V117)*(DE$3:DE$105="D"))</f>
        <v>0</v>
      </c>
      <c r="Y117" s="231">
        <f>SUMPRODUCT((DA$3:DA$105=V117)*(DD$3:DD$105=V118)*(DE$3:DE$105="L"))+SUMPRODUCT((DA$3:DA$105=V117)*(DD$3:DD$105=V119)*(DE$3:DE$105="L"))+SUMPRODUCT((DA$3:DA$105=V117)*(DD$3:DD$105=V120)*(DE$3:DE$105="L"))+SUMPRODUCT((DA$3:DA$105=V117)*(DD$3:DD$105=V116)*(DE$3:DE$105="L"))+SUMPRODUCT((DA$3:DA$105=V118)*(DD$3:DD$105=V117)*(DF$3:DF$105="L"))+SUMPRODUCT((DA$3:DA$105=V119)*(DD$3:DD$105=V117)*(DF$3:DF$105="L"))+SUMPRODUCT((DA$3:DA$105=V120)*(DD$3:DD$105=V117)*(DF$3:DF$105="L"))+SUMPRODUCT((DA$3:DA$105=V116)*(DD$3:DD$105=V117)*(DF$3:DF$105="L"))</f>
        <v>0</v>
      </c>
      <c r="Z117" s="231">
        <f>SUMPRODUCT((DA$3:DA$105=V117)*(DD$3:DD$105=V118)*DB$3:DB$105)+SUMPRODUCT((DA$3:DA$105=V117)*(DD$3:DD$105=V119)*DB$3:DB$105)+SUMPRODUCT((DA$3:DA$105=V117)*(DD$3:DD$105=V120)*DB$3:DB$105)+SUMPRODUCT((DA$3:DA$105=V117)*(DD$3:DD$105=V116)*DB$3:DB$105)+SUMPRODUCT((DA$3:DA$105=V118)*(DD$3:DD$105=V117)*DC$3:DC$105)+SUMPRODUCT((DA$3:DA$105=V119)*(DD$3:DD$105=V117)*DC$3:DC$105)+SUMPRODUCT((DA$3:DA$105=V120)*(DD$3:DD$105=V117)*DC$3:DC$105)+SUMPRODUCT((DA$3:DA$105=V116)*(DD$3:DD$105=V117)*DC$3:DC$105)</f>
        <v>0</v>
      </c>
      <c r="AA117" s="231">
        <f>SUMPRODUCT((DA$3:DA$105=V117)*(DD$3:DD$105=V118)*DC$3:DC$105)+SUMPRODUCT((DA$3:DA$105=V117)*(DD$3:DD$105=V119)*DC$3:DC$105)+SUMPRODUCT((DA$3:DA$105=V117)*(DD$3:DD$105=V120)*DC$3:DC$105)+SUMPRODUCT((DA$3:DA$105=V117)*(DD$3:DD$105=V116)*DC$3:DC$105)+SUMPRODUCT((DA$3:DA$105=V118)*(DD$3:DD$105=V117)*DB$3:DB$105)+SUMPRODUCT((DA$3:DA$105=V119)*(DD$3:DD$105=V117)*DB$3:DB$105)+SUMPRODUCT((DA$3:DA$105=V120)*(DD$3:DD$105=V117)*DB$3:DB$105)+SUMPRODUCT((DA$3:DA$105=V116)*(DD$3:DD$105=V117)*DB$3:DB$105)</f>
        <v>0</v>
      </c>
      <c r="AB117" s="231">
        <f>Z117-AA117+1000</f>
        <v>1000</v>
      </c>
      <c r="AC117" s="231">
        <f t="shared" ref="AC117:AC119" si="194">IF(V117&lt;&gt;"",W117*3+X117*1,"")</f>
        <v>0</v>
      </c>
      <c r="AD117" s="231">
        <f>IF(V117&lt;&gt;"",VLOOKUP(V117,C$4:I$52,7,FALSE),"")</f>
        <v>1000</v>
      </c>
      <c r="AE117" s="231">
        <f>IF(V117&lt;&gt;"",VLOOKUP(V117,C$4:I$52,5,FALSE),"")</f>
        <v>0</v>
      </c>
      <c r="AF117" s="231">
        <f>IF(V117&lt;&gt;"",VLOOKUP(V117,C$4:K$52,9,FALSE),"")</f>
        <v>-142</v>
      </c>
      <c r="AG117" s="231">
        <f t="shared" ref="AG117:AG119" si="195">AC117</f>
        <v>0</v>
      </c>
      <c r="AH117" s="231">
        <f>IF(V117&lt;&gt;"",RANK(AG117,AG116:AG119),"")</f>
        <v>1</v>
      </c>
      <c r="AI117" s="231">
        <f>IF(V117&lt;&gt;"",SUMPRODUCT((AG116:AG119=AG117)*(AB116:AB119&gt;AB117)),"")</f>
        <v>0</v>
      </c>
      <c r="AJ117" s="231">
        <f>IF(V117&lt;&gt;"",SUMPRODUCT((AG116:AG119=AG117)*(AB116:AB119=AB117)*(Z116:Z119&gt;Z117)),"")</f>
        <v>0</v>
      </c>
      <c r="AK117" s="231">
        <f>IF(V117&lt;&gt;"",SUMPRODUCT((AG116:AG119=AG117)*(AB116:AB119=AB117)*(Z116:Z119=Z117)*(AD116:AD119&gt;AD117)),"")</f>
        <v>0</v>
      </c>
      <c r="AL117" s="231">
        <f>IF(V117&lt;&gt;"",SUMPRODUCT((AG116:AG119=AG117)*(AB116:AB119=AB117)*(Z116:Z119=Z117)*(AD116:AD119=AD117)*(AE116:AE119&gt;AE117)),"")</f>
        <v>0</v>
      </c>
      <c r="AM117" s="231">
        <f>IF(V117&lt;&gt;"",SUMPRODUCT((AG116:AG119=AG117)*(AB116:AB119=AB117)*(Z116:Z119=Z117)*(AD116:AD119=AD117)*(AE116:AE119=AE117)*(AF116:AF119&gt;AF117)),"")</f>
        <v>2</v>
      </c>
      <c r="AN117" s="231">
        <f>IF(V117&lt;&gt;"",SUM(AH117:AM117),"")</f>
        <v>3</v>
      </c>
      <c r="AO117" s="231" t="str">
        <f>IF(AP38&lt;&gt;"",SUMPRODUCT((AW37:AW40=AW38)*(AV37:AV40=AV38)*(AT37:AT40=AT38)*(AU37:AU40=AU38)),"")</f>
        <v/>
      </c>
      <c r="AP117" s="231" t="str">
        <f>IF(AND(AO117&lt;&gt;"",AO117&gt;1),AP38,"")</f>
        <v/>
      </c>
      <c r="AQ117" s="231">
        <f>SUMPRODUCT((DA$3:DA$105=AP117)*(DD$3:DD$105=AP118)*(DE$3:DE$105="W"))+SUMPRODUCT((DA$3:DA$105=AP117)*(DD$3:DD$105=AP119)*(DE$3:DE$105="W"))+SUMPRODUCT((DA$3:DA$105=AP117)*(DD$3:DD$105=AP120)*(DE$3:DE$105="W"))+SUMPRODUCT((DA$3:DA$105=AP118)*(DD$3:DD$105=AP117)*(DF$3:DF$105="W"))+SUMPRODUCT((DA$3:DA$105=AP119)*(DD$3:DD$105=AP117)*(DF$3:DF$105="W"))+SUMPRODUCT((DA$3:DA$105=AP120)*(DD$3:DD$105=AP117)*(DF$3:DF$105="W"))</f>
        <v>0</v>
      </c>
      <c r="AR117" s="231">
        <f>SUMPRODUCT((DA$3:DA$105=AP117)*(DD$3:DD$105=AP118)*(DE$3:DE$105="D"))+SUMPRODUCT((DA$3:DA$105=AP117)*(DD$3:DD$105=AP119)*(DE$3:DE$105="D"))+SUMPRODUCT((DA$3:DA$105=AP117)*(DD$3:DD$105=AP120)*(DE$3:DE$105="D"))+SUMPRODUCT((DA$3:DA$105=AP118)*(DD$3:DD$105=AP117)*(DE$3:DE$105="D"))+SUMPRODUCT((DA$3:DA$105=AP119)*(DD$3:DD$105=AP117)*(DE$3:DE$105="D"))+SUMPRODUCT((DA$3:DA$105=AP120)*(DD$3:DD$105=AP117)*(DE$3:DE$105="D"))</f>
        <v>0</v>
      </c>
      <c r="AS117" s="231">
        <f>SUMPRODUCT((DA$3:DA$105=AP117)*(DD$3:DD$105=AP118)*(DE$3:DE$105="L"))+SUMPRODUCT((DA$3:DA$105=AP117)*(DD$3:DD$105=AP119)*(DE$3:DE$105="L"))+SUMPRODUCT((DA$3:DA$105=AP117)*(DD$3:DD$105=AP120)*(DE$3:DE$105="L"))+SUMPRODUCT((DA$3:DA$105=AP118)*(DD$3:DD$105=AP117)*(DF$3:DF$105="L"))+SUMPRODUCT((DA$3:DA$105=AP119)*(DD$3:DD$105=AP117)*(DF$3:DF$105="L"))+SUMPRODUCT((DA$3:DA$105=AP120)*(DD$3:DD$105=AP117)*(DF$3:DF$105="L"))</f>
        <v>0</v>
      </c>
      <c r="AT117" s="231">
        <f>SUMPRODUCT((DA$3:DA$105=AP117)*(DD$3:DD$105=AP118)*DB$3:DB$105)+SUMPRODUCT((DA$3:DA$105=AP117)*(DD$3:DD$105=AP119)*DB$3:DB$105)+SUMPRODUCT((DA$3:DA$105=AP117)*(DD$3:DD$105=AP120)*DB$3:DB$105)+SUMPRODUCT((DA$3:DA$105=AP117)*(DD$3:DD$105=AP116)*DB$3:DB$105)+SUMPRODUCT((DA$3:DA$105=AP118)*(DD$3:DD$105=AP117)*DC$3:DC$105)+SUMPRODUCT((DA$3:DA$105=AP119)*(DD$3:DD$105=AP117)*DC$3:DC$105)+SUMPRODUCT((DA$3:DA$105=AP120)*(DD$3:DD$105=AP117)*DC$3:DC$105)+SUMPRODUCT((DA$3:DA$105=AP116)*(DD$3:DD$105=AP117)*DC$3:DC$105)</f>
        <v>0</v>
      </c>
      <c r="AU117" s="231">
        <f>SUMPRODUCT((DA$3:DA$105=AP117)*(DD$3:DD$105=AP118)*DC$3:DC$105)+SUMPRODUCT((DA$3:DA$105=AP117)*(DD$3:DD$105=AP119)*DC$3:DC$105)+SUMPRODUCT((DA$3:DA$105=AP117)*(DD$3:DD$105=AP120)*DC$3:DC$105)+SUMPRODUCT((DA$3:DA$105=AP117)*(DD$3:DD$105=AP116)*DC$3:DC$105)+SUMPRODUCT((DA$3:DA$105=AP118)*(DD$3:DD$105=AP117)*DB$3:DB$105)+SUMPRODUCT((DA$3:DA$105=AP119)*(DD$3:DD$105=AP117)*DB$3:DB$105)+SUMPRODUCT((DA$3:DA$105=AP120)*(DD$3:DD$105=AP117)*DB$3:DB$105)+SUMPRODUCT((DA$3:DA$105=AP116)*(DD$3:DD$105=AP117)*DB$3:DB$105)</f>
        <v>0</v>
      </c>
      <c r="AV117" s="231">
        <f>AT117-AU117+1000</f>
        <v>1000</v>
      </c>
      <c r="AW117" s="231" t="str">
        <f t="shared" ref="AW117:AW119" si="196">IF(AP117&lt;&gt;"",AQ117*3+AR117*1,"")</f>
        <v/>
      </c>
      <c r="AX117" s="231" t="str">
        <f>IF(AP117&lt;&gt;"",VLOOKUP(AP117,C$4:I$52,7,FALSE),"")</f>
        <v/>
      </c>
      <c r="AY117" s="231" t="str">
        <f>IF(AP117&lt;&gt;"",VLOOKUP(AP117,C$4:I$52,5,FALSE),"")</f>
        <v/>
      </c>
      <c r="AZ117" s="231" t="str">
        <f>IF(AP117&lt;&gt;"",VLOOKUP(AP117,C$4:K$52,9,FALSE),"")</f>
        <v/>
      </c>
      <c r="BA117" s="231" t="str">
        <f t="shared" ref="BA117:BA119" si="197">AW117</f>
        <v/>
      </c>
      <c r="BB117" s="231" t="str">
        <f>IF(AP117&lt;&gt;"",RANK(BA117,BA116:BA119),"")</f>
        <v/>
      </c>
      <c r="BC117" s="231" t="str">
        <f>IF(AP117&lt;&gt;"",SUMPRODUCT((BA116:BA119=BA117)*(AV116:AV119&gt;AV117)),"")</f>
        <v/>
      </c>
      <c r="BD117" s="231" t="str">
        <f>IF(AP117&lt;&gt;"",SUMPRODUCT((BA116:BA119=BA117)*(AV116:AV119=AV117)*(AT116:AT119&gt;AT117)),"")</f>
        <v/>
      </c>
      <c r="BE117" s="231" t="str">
        <f>IF(AP117&lt;&gt;"",SUMPRODUCT((BA116:BA119=BA117)*(AV116:AV119=AV117)*(AT116:AT119=AT117)*(AX116:AX119&gt;AX117)),"")</f>
        <v/>
      </c>
      <c r="BF117" s="231" t="str">
        <f>IF(AP117&lt;&gt;"",SUMPRODUCT((BA116:BA119=BA117)*(AV116:AV119=AV117)*(AT116:AT119=AT117)*(AX116:AX119=AX117)*(AY116:AY119&gt;AY117)),"")</f>
        <v/>
      </c>
      <c r="BG117" s="231" t="str">
        <f>IF(AP117&lt;&gt;"",SUMPRODUCT((BA116:BA119=BA117)*(AV116:AV119=AV117)*(AT116:AT119=AT117)*(AX116:AX119=AX117)*(AY116:AY119=AY117)*(AZ116:AZ119&gt;AZ117)),"")</f>
        <v/>
      </c>
      <c r="BH117" s="231" t="str">
        <f>IF(AP117&lt;&gt;"",SUM(BB117:BG117)+1,"")</f>
        <v/>
      </c>
      <c r="DS117" s="233" t="str">
        <f>Matches!M106</f>
        <v>Match 100 Winner</v>
      </c>
      <c r="DU117" s="233" t="str">
        <f>IF(ISERROR("Calculator!"&amp;VLOOKUP(DS117,Calculator!$DS$7:$DT$54,2,FALSE)),"Calculator!dr77","Calculator!"&amp;VLOOKUP(DS117,Calculator!$DS$7:$DT$54,2,FALSE))</f>
        <v>Calculator!dr77</v>
      </c>
      <c r="DX117" s="230"/>
      <c r="DY117" s="230"/>
      <c r="DZ117" s="230"/>
      <c r="EA117" s="247"/>
      <c r="EB117" s="230"/>
      <c r="EC117" s="230"/>
    </row>
    <row r="118" spans="10:133" x14ac:dyDescent="0.25">
      <c r="J118" s="231">
        <f>IF(COUNTIF(J$37:J$40,4)=4,1,SUMPRODUCT((J$37:J$40=J39)*(I$37:I$40=I39)*(G$37:G$40&gt;G39))+1)</f>
        <v>1</v>
      </c>
      <c r="U118" s="231">
        <f>IF(V39&lt;&gt;"",SUMPRODUCT((AC37:AC40=AC39)*(AB37:AB40=AB39)*(Z37:Z40=Z39)*(AA37:AA40=AA39)),"")</f>
        <v>4</v>
      </c>
      <c r="V118" s="231" t="str">
        <f>IF(AND(U118&lt;&gt;"",U118&gt;1),V39,"")</f>
        <v>Japan</v>
      </c>
      <c r="W118" s="231">
        <f>SUMPRODUCT((DA$3:DA$105=V118)*(DD$3:DD$105=V119)*(DE$3:DE$105="W"))+SUMPRODUCT((DA$3:DA$105=V118)*(DD$3:DD$105=V120)*(DE$3:DE$105="W"))+SUMPRODUCT((DA$3:DA$105=V118)*(DD$3:DD$105=V116)*(DE$3:DE$105="W"))+SUMPRODUCT((DA$3:DA$105=V118)*(DD$3:DD$105=V117)*(DE$3:DE$105="W"))+SUMPRODUCT((DA$3:DA$105=V119)*(DD$3:DD$105=V118)*(DF$3:DF$105="W"))+SUMPRODUCT((DA$3:DA$105=V120)*(DD$3:DD$105=V118)*(DF$3:DF$105="W"))+SUMPRODUCT((DA$3:DA$105=V116)*(DD$3:DD$105=V118)*(DF$3:DF$105="W"))+SUMPRODUCT((DA$3:DA$105=V117)*(DD$3:DD$105=V118)*(DF$3:DF$105="W"))</f>
        <v>0</v>
      </c>
      <c r="X118" s="231">
        <f>SUMPRODUCT((DA$3:DA$105=V118)*(DD$3:DD$105=V119)*(DE$3:DE$105="D"))+SUMPRODUCT((DA$3:DA$105=V118)*(DD$3:DD$105=V120)*(DE$3:DE$105="D"))+SUMPRODUCT((DA$3:DA$105=V118)*(DD$3:DD$105=V116)*(DE$3:DE$105="D"))+SUMPRODUCT((DA$3:DA$105=V118)*(DD$3:DD$105=V117)*(DE$3:DE$105="D"))+SUMPRODUCT((DA$3:DA$105=V119)*(DD$3:DD$105=V118)*(DE$3:DE$105="D"))+SUMPRODUCT((DA$3:DA$105=V120)*(DD$3:DD$105=V118)*(DE$3:DE$105="D"))+SUMPRODUCT((DA$3:DA$105=V116)*(DD$3:DD$105=V118)*(DE$3:DE$105="D"))+SUMPRODUCT((DA$3:DA$105=V117)*(DD$3:DD$105=V118)*(DE$3:DE$105="D"))</f>
        <v>0</v>
      </c>
      <c r="Y118" s="231">
        <f>SUMPRODUCT((DA$3:DA$105=V118)*(DD$3:DD$105=V119)*(DE$3:DE$105="L"))+SUMPRODUCT((DA$3:DA$105=V118)*(DD$3:DD$105=V120)*(DE$3:DE$105="L"))+SUMPRODUCT((DA$3:DA$105=V118)*(DD$3:DD$105=V116)*(DE$3:DE$105="L"))+SUMPRODUCT((DA$3:DA$105=V118)*(DD$3:DD$105=V117)*(DE$3:DE$105="L"))+SUMPRODUCT((DA$3:DA$105=V119)*(DD$3:DD$105=V118)*(DF$3:DF$105="L"))+SUMPRODUCT((DA$3:DA$105=V120)*(DD$3:DD$105=V118)*(DF$3:DF$105="L"))+SUMPRODUCT((DA$3:DA$105=V116)*(DD$3:DD$105=V118)*(DF$3:DF$105="L"))+SUMPRODUCT((DA$3:DA$105=V117)*(DD$3:DD$105=V118)*(DF$3:DF$105="L"))</f>
        <v>0</v>
      </c>
      <c r="Z118" s="231">
        <f>SUMPRODUCT((DA$3:DA$105=V118)*(DD$3:DD$105=V119)*DB$3:DB$105)+SUMPRODUCT((DA$3:DA$105=V118)*(DD$3:DD$105=V120)*DB$3:DB$105)+SUMPRODUCT((DA$3:DA$105=V118)*(DD$3:DD$105=V116)*DB$3:DB$105)+SUMPRODUCT((DA$3:DA$105=V118)*(DD$3:DD$105=V117)*DB$3:DB$105)+SUMPRODUCT((DA$3:DA$105=V119)*(DD$3:DD$105=V118)*DC$3:DC$105)+SUMPRODUCT((DA$3:DA$105=V120)*(DD$3:DD$105=V118)*DC$3:DC$105)+SUMPRODUCT((DA$3:DA$105=V116)*(DD$3:DD$105=V118)*DC$3:DC$105)+SUMPRODUCT((DA$3:DA$105=V117)*(DD$3:DD$105=V118)*DC$3:DC$105)</f>
        <v>0</v>
      </c>
      <c r="AA118" s="231">
        <f>SUMPRODUCT((DA$3:DA$105=V118)*(DD$3:DD$105=V119)*DC$3:DC$105)+SUMPRODUCT((DA$3:DA$105=V118)*(DD$3:DD$105=V120)*DC$3:DC$105)+SUMPRODUCT((DA$3:DA$105=V118)*(DD$3:DD$105=V116)*DC$3:DC$105)+SUMPRODUCT((DA$3:DA$105=V118)*(DD$3:DD$105=V117)*DC$3:DC$105)+SUMPRODUCT((DA$3:DA$105=V119)*(DD$3:DD$105=V118)*DB$3:DB$105)+SUMPRODUCT((DA$3:DA$105=V120)*(DD$3:DD$105=V118)*DB$3:DB$105)+SUMPRODUCT((DA$3:DA$105=V116)*(DD$3:DD$105=V118)*DB$3:DB$105)+SUMPRODUCT((DA$3:DA$105=V117)*(DD$3:DD$105=V118)*DB$3:DB$105)</f>
        <v>0</v>
      </c>
      <c r="AB118" s="231">
        <f>Z118-AA118+1000</f>
        <v>1000</v>
      </c>
      <c r="AC118" s="231">
        <f t="shared" si="194"/>
        <v>0</v>
      </c>
      <c r="AD118" s="231">
        <f>IF(V118&lt;&gt;"",VLOOKUP(V118,C$4:I$52,7,FALSE),"")</f>
        <v>1000</v>
      </c>
      <c r="AE118" s="231">
        <f>IF(V118&lt;&gt;"",VLOOKUP(V118,C$4:I$52,5,FALSE),"")</f>
        <v>0</v>
      </c>
      <c r="AF118" s="231">
        <f>IF(V118&lt;&gt;"",VLOOKUP(V118,C$4:K$52,9,FALSE),"")</f>
        <v>-119</v>
      </c>
      <c r="AG118" s="231">
        <f t="shared" si="195"/>
        <v>0</v>
      </c>
      <c r="AH118" s="231">
        <f>IF(V118&lt;&gt;"",RANK(AG118,AG116:AG119),"")</f>
        <v>1</v>
      </c>
      <c r="AI118" s="231">
        <f>IF(V118&lt;&gt;"",SUMPRODUCT((AG116:AG119=AG118)*(AB116:AB119&gt;AB118)),"")</f>
        <v>0</v>
      </c>
      <c r="AJ118" s="231">
        <f>IF(V118&lt;&gt;"",SUMPRODUCT((AG116:AG119=AG118)*(AB116:AB119=AB118)*(Z116:Z119&gt;Z118)),"")</f>
        <v>0</v>
      </c>
      <c r="AK118" s="231">
        <f>IF(V118&lt;&gt;"",SUMPRODUCT((AG116:AG119=AG118)*(AB116:AB119=AB118)*(Z116:Z119=Z118)*(AD116:AD119&gt;AD118)),"")</f>
        <v>0</v>
      </c>
      <c r="AL118" s="231">
        <f>IF(V118&lt;&gt;"",SUMPRODUCT((AG116:AG119=AG118)*(AB116:AB119=AB118)*(Z116:Z119=Z118)*(AD116:AD119=AD118)*(AE116:AE119&gt;AE118)),"")</f>
        <v>0</v>
      </c>
      <c r="AM118" s="231">
        <f>IF(V118&lt;&gt;"",SUMPRODUCT((AG116:AG119=AG118)*(AB116:AB119=AB118)*(Z116:Z119=Z118)*(AD116:AD119=AD118)*(AE116:AE119=AE118)*(AF116:AF119&gt;AF118)),"")</f>
        <v>1</v>
      </c>
      <c r="AN118" s="231">
        <f>IF(V118&lt;&gt;"",SUM(AH118:AM118),"")</f>
        <v>2</v>
      </c>
      <c r="AO118" s="231" t="str">
        <f>IF(AP39&lt;&gt;"",SUMPRODUCT((AW37:AW40=AW39)*(AV37:AV40=AV39)*(AT37:AT40=AT39)*(AU37:AU40=AU39)),"")</f>
        <v/>
      </c>
      <c r="AP118" s="231" t="str">
        <f>IF(AND(AO118&lt;&gt;"",AO118&gt;1),AP39,"")</f>
        <v/>
      </c>
      <c r="AQ118" s="231">
        <f>SUMPRODUCT((DA$3:DA$105=AP118)*(DD$3:DD$105=AP119)*(DE$3:DE$105="W"))+SUMPRODUCT((DA$3:DA$105=AP118)*(DD$3:DD$105=AP120)*(DE$3:DE$105="W"))+SUMPRODUCT((DA$3:DA$105=AP118)*(DD$3:DD$105=AP117)*(DE$3:DE$105="W"))+SUMPRODUCT((DA$3:DA$105=AP119)*(DD$3:DD$105=AP118)*(DF$3:DF$105="W"))+SUMPRODUCT((DA$3:DA$105=AP120)*(DD$3:DD$105=AP118)*(DF$3:DF$105="W"))+SUMPRODUCT((DA$3:DA$105=AP117)*(DD$3:DD$105=AP118)*(DF$3:DF$105="W"))</f>
        <v>0</v>
      </c>
      <c r="AR118" s="231">
        <f>SUMPRODUCT((DA$3:DA$105=AP118)*(DD$3:DD$105=AP119)*(DE$3:DE$105="D"))+SUMPRODUCT((DA$3:DA$105=AP118)*(DD$3:DD$105=AP120)*(DE$3:DE$105="D"))+SUMPRODUCT((DA$3:DA$105=AP118)*(DD$3:DD$105=AP117)*(DE$3:DE$105="D"))+SUMPRODUCT((DA$3:DA$105=AP119)*(DD$3:DD$105=AP118)*(DE$3:DE$105="D"))+SUMPRODUCT((DA$3:DA$105=AP120)*(DD$3:DD$105=AP118)*(DE$3:DE$105="D"))+SUMPRODUCT((DA$3:DA$105=AP117)*(DD$3:DD$105=AP118)*(DE$3:DE$105="D"))</f>
        <v>0</v>
      </c>
      <c r="AS118" s="231">
        <f>SUMPRODUCT((DA$3:DA$105=AP118)*(DD$3:DD$105=AP119)*(DE$3:DE$105="L"))+SUMPRODUCT((DA$3:DA$105=AP118)*(DD$3:DD$105=AP120)*(DE$3:DE$105="L"))+SUMPRODUCT((DA$3:DA$105=AP118)*(DD$3:DD$105=AP117)*(DE$3:DE$105="L"))+SUMPRODUCT((DA$3:DA$105=AP119)*(DD$3:DD$105=AP118)*(DF$3:DF$105="L"))+SUMPRODUCT((DA$3:DA$105=AP120)*(DD$3:DD$105=AP118)*(DF$3:DF$105="L"))+SUMPRODUCT((DA$3:DA$105=AP117)*(DD$3:DD$105=AP118)*(DF$3:DF$105="L"))</f>
        <v>0</v>
      </c>
      <c r="AT118" s="231">
        <f>SUMPRODUCT((DA$3:DA$105=AP118)*(DD$3:DD$105=AP119)*DB$3:DB$105)+SUMPRODUCT((DA$3:DA$105=AP118)*(DD$3:DD$105=AP120)*DB$3:DB$105)+SUMPRODUCT((DA$3:DA$105=AP118)*(DD$3:DD$105=AP116)*DB$3:DB$105)+SUMPRODUCT((DA$3:DA$105=AP118)*(DD$3:DD$105=AP117)*DB$3:DB$105)+SUMPRODUCT((DA$3:DA$105=AP119)*(DD$3:DD$105=AP118)*DC$3:DC$105)+SUMPRODUCT((DA$3:DA$105=AP120)*(DD$3:DD$105=AP118)*DC$3:DC$105)+SUMPRODUCT((DA$3:DA$105=AP116)*(DD$3:DD$105=AP118)*DC$3:DC$105)+SUMPRODUCT((DA$3:DA$105=AP117)*(DD$3:DD$105=AP118)*DC$3:DC$105)</f>
        <v>0</v>
      </c>
      <c r="AU118" s="231">
        <f>SUMPRODUCT((DA$3:DA$105=AP118)*(DD$3:DD$105=AP119)*DC$3:DC$105)+SUMPRODUCT((DA$3:DA$105=AP118)*(DD$3:DD$105=AP120)*DC$3:DC$105)+SUMPRODUCT((DA$3:DA$105=AP118)*(DD$3:DD$105=AP116)*DC$3:DC$105)+SUMPRODUCT((DA$3:DA$105=AP118)*(DD$3:DD$105=AP117)*DC$3:DC$105)+SUMPRODUCT((DA$3:DA$105=AP119)*(DD$3:DD$105=AP118)*DB$3:DB$105)+SUMPRODUCT((DA$3:DA$105=AP120)*(DD$3:DD$105=AP118)*DB$3:DB$105)+SUMPRODUCT((DA$3:DA$105=AP116)*(DD$3:DD$105=AP118)*DB$3:DB$105)+SUMPRODUCT((DA$3:DA$105=AP117)*(DD$3:DD$105=AP118)*DB$3:DB$105)</f>
        <v>0</v>
      </c>
      <c r="AV118" s="231">
        <f>AT118-AU118+1000</f>
        <v>1000</v>
      </c>
      <c r="AW118" s="231" t="str">
        <f t="shared" si="196"/>
        <v/>
      </c>
      <c r="AX118" s="231" t="str">
        <f>IF(AP118&lt;&gt;"",VLOOKUP(AP118,C$4:I$52,7,FALSE),"")</f>
        <v/>
      </c>
      <c r="AY118" s="231" t="str">
        <f>IF(AP118&lt;&gt;"",VLOOKUP(AP118,C$4:I$52,5,FALSE),"")</f>
        <v/>
      </c>
      <c r="AZ118" s="231" t="str">
        <f>IF(AP118&lt;&gt;"",VLOOKUP(AP118,C$4:K$52,9,FALSE),"")</f>
        <v/>
      </c>
      <c r="BA118" s="231" t="str">
        <f t="shared" si="197"/>
        <v/>
      </c>
      <c r="BB118" s="231" t="str">
        <f>IF(AP118&lt;&gt;"",RANK(BA118,BA116:BA119),"")</f>
        <v/>
      </c>
      <c r="BC118" s="231" t="str">
        <f>IF(AP118&lt;&gt;"",SUMPRODUCT((BA116:BA119=BA118)*(AV116:AV119&gt;AV118)),"")</f>
        <v/>
      </c>
      <c r="BD118" s="231" t="str">
        <f>IF(AP118&lt;&gt;"",SUMPRODUCT((BA116:BA119=BA118)*(AV116:AV119=AV118)*(AT116:AT119&gt;AT118)),"")</f>
        <v/>
      </c>
      <c r="BE118" s="231" t="str">
        <f>IF(AP118&lt;&gt;"",SUMPRODUCT((BA116:BA119=BA118)*(AV116:AV119=AV118)*(AT116:AT119=AT118)*(AX116:AX119&gt;AX118)),"")</f>
        <v/>
      </c>
      <c r="BF118" s="231" t="str">
        <f>IF(AP118&lt;&gt;"",SUMPRODUCT((BA116:BA119=BA118)*(AV116:AV119=AV118)*(AT116:AT119=AT118)*(AX116:AX119=AX118)*(AY116:AY119&gt;AY118)),"")</f>
        <v/>
      </c>
      <c r="BG118" s="231" t="str">
        <f>IF(AP118&lt;&gt;"",SUMPRODUCT((BA116:BA119=BA118)*(AV116:AV119=AV118)*(AT116:AT119=AT118)*(AX116:AX119=AX118)*(AY116:AY119=AY118)*(AZ116:AZ119&gt;AZ118)),"")</f>
        <v/>
      </c>
      <c r="BH118" s="231" t="str">
        <f t="shared" ref="BH118:BH119" si="198">IF(AP118&lt;&gt;"",SUM(BB118:BG118)+1,"")</f>
        <v/>
      </c>
      <c r="DS118" s="233" t="str">
        <f>Matches!M107</f>
        <v>Match 102 Loser</v>
      </c>
      <c r="DU118" s="233" t="str">
        <f>IF(ISERROR("Calculator!"&amp;VLOOKUP(DS118,Calculator!$DS$7:$DT$54,2,FALSE)),"Calculator!dr77","Calculator!"&amp;VLOOKUP(DS118,Calculator!$DS$7:$DT$54,2,FALSE))</f>
        <v>Calculator!dr77</v>
      </c>
      <c r="DX118" s="230"/>
      <c r="DY118" s="230"/>
      <c r="DZ118" s="230"/>
      <c r="EA118" s="247"/>
      <c r="EB118" s="230"/>
      <c r="EC118" s="230"/>
    </row>
    <row r="119" spans="10:133" x14ac:dyDescent="0.25">
      <c r="J119" s="231">
        <f>IF(COUNTIF(J$37:J$40,4)=4,1,SUMPRODUCT((J$37:J$40=J40)*(I$37:I$40=I40)*(G$37:G$40&gt;G40))+1)</f>
        <v>1</v>
      </c>
      <c r="U119" s="231">
        <f>IF(V40&lt;&gt;"",SUMPRODUCT((AC37:AC40=AC40)*(AB37:AB40=AB40)*(Z37:Z40=Z40)*(AA37:AA40=AA40)),"")</f>
        <v>4</v>
      </c>
      <c r="V119" s="231" t="str">
        <f>IF(AND(U119&lt;&gt;"",U119&gt;1),V40,"")</f>
        <v>Netherlands</v>
      </c>
      <c r="W119" s="231">
        <f>SUMPRODUCT((DA$3:DA$105=V119)*(DD$3:DD$105=V120)*(DE$3:DE$105="W"))+SUMPRODUCT((DA$3:DA$105=V119)*(DD$3:DD$105=V116)*(DE$3:DE$105="W"))+SUMPRODUCT((DA$3:DA$105=V119)*(DD$3:DD$105=V117)*(DE$3:DE$105="W"))+SUMPRODUCT((DA$3:DA$105=V119)*(DD$3:DD$105=V118)*(DE$3:DE$105="W"))+SUMPRODUCT((DA$3:DA$105=V120)*(DD$3:DD$105=V119)*(DF$3:DF$105="W"))+SUMPRODUCT((DA$3:DA$105=V116)*(DD$3:DD$105=V119)*(DF$3:DF$105="W"))+SUMPRODUCT((DA$3:DA$105=V117)*(DD$3:DD$105=V119)*(DF$3:DF$105="W"))+SUMPRODUCT((DA$3:DA$105=V118)*(DD$3:DD$105=V119)*(DF$3:DF$105="W"))</f>
        <v>0</v>
      </c>
      <c r="X119" s="231">
        <f>SUMPRODUCT((DA$3:DA$105=V119)*(DD$3:DD$105=V120)*(DE$3:DE$105="D"))+SUMPRODUCT((DA$3:DA$105=V119)*(DD$3:DD$105=V116)*(DE$3:DE$105="D"))+SUMPRODUCT((DA$3:DA$105=V119)*(DD$3:DD$105=V117)*(DE$3:DE$105="D"))+SUMPRODUCT((DA$3:DA$105=V119)*(DD$3:DD$105=V118)*(DE$3:DE$105="D"))+SUMPRODUCT((DA$3:DA$105=V120)*(DD$3:DD$105=V119)*(DE$3:DE$105="D"))+SUMPRODUCT((DA$3:DA$105=V116)*(DD$3:DD$105=V119)*(DE$3:DE$105="D"))+SUMPRODUCT((DA$3:DA$105=V117)*(DD$3:DD$105=V119)*(DE$3:DE$105="D"))+SUMPRODUCT((DA$3:DA$105=V118)*(DD$3:DD$105=V119)*(DE$3:DE$105="D"))</f>
        <v>0</v>
      </c>
      <c r="Y119" s="231">
        <f>SUMPRODUCT((DA$3:DA$105=V119)*(DD$3:DD$105=V120)*(DE$3:DE$105="L"))+SUMPRODUCT((DA$3:DA$105=V119)*(DD$3:DD$105=V116)*(DE$3:DE$105="L"))+SUMPRODUCT((DA$3:DA$105=V119)*(DD$3:DD$105=V117)*(DE$3:DE$105="L"))+SUMPRODUCT((DA$3:DA$105=V119)*(DD$3:DD$105=V118)*(DE$3:DE$105="L"))+SUMPRODUCT((DA$3:DA$105=V120)*(DD$3:DD$105=V119)*(DF$3:DF$105="L"))+SUMPRODUCT((DA$3:DA$105=V116)*(DD$3:DD$105=V119)*(DF$3:DF$105="L"))+SUMPRODUCT((DA$3:DA$105=V117)*(DD$3:DD$105=V119)*(DF$3:DF$105="L"))+SUMPRODUCT((DA$3:DA$105=V118)*(DD$3:DD$105=V119)*(DF$3:DF$105="L"))</f>
        <v>0</v>
      </c>
      <c r="Z119" s="231">
        <f>SUMPRODUCT((DA$3:DA$105=V119)*(DD$3:DD$105=V120)*DB$3:DB$105)+SUMPRODUCT((DA$3:DA$105=V119)*(DD$3:DD$105=V116)*DB$3:DB$105)+SUMPRODUCT((DA$3:DA$105=V119)*(DD$3:DD$105=V117)*DB$3:DB$105)+SUMPRODUCT((DA$3:DA$105=V119)*(DD$3:DD$105=V118)*DB$3:DB$105)+SUMPRODUCT((DA$3:DA$105=V120)*(DD$3:DD$105=V119)*DC$3:DC$105)+SUMPRODUCT((DA$3:DA$105=V116)*(DD$3:DD$105=V119)*DC$3:DC$105)+SUMPRODUCT((DA$3:DA$105=V117)*(DD$3:DD$105=V119)*DC$3:DC$105)+SUMPRODUCT((DA$3:DA$105=V118)*(DD$3:DD$105=V119)*DC$3:DC$105)</f>
        <v>0</v>
      </c>
      <c r="AA119" s="231">
        <f>SUMPRODUCT((DA$3:DA$105=V119)*(DD$3:DD$105=V120)*DC$3:DC$105)+SUMPRODUCT((DA$3:DA$105=V119)*(DD$3:DD$105=V116)*DC$3:DC$105)+SUMPRODUCT((DA$3:DA$105=V119)*(DD$3:DD$105=V117)*DC$3:DC$105)+SUMPRODUCT((DA$3:DA$105=V119)*(DD$3:DD$105=V118)*DC$3:DC$105)+SUMPRODUCT((DA$3:DA$105=V120)*(DD$3:DD$105=V119)*DB$3:DB$105)+SUMPRODUCT((DA$3:DA$105=V116)*(DD$3:DD$105=V119)*DB$3:DB$105)+SUMPRODUCT((DA$3:DA$105=V117)*(DD$3:DD$105=V119)*DB$3:DB$105)+SUMPRODUCT((DA$3:DA$105=V118)*(DD$3:DD$105=V119)*DB$3:DB$105)</f>
        <v>0</v>
      </c>
      <c r="AB119" s="231">
        <f>Z119-AA119+1000</f>
        <v>1000</v>
      </c>
      <c r="AC119" s="231">
        <f t="shared" si="194"/>
        <v>0</v>
      </c>
      <c r="AD119" s="231">
        <f>IF(V119&lt;&gt;"",VLOOKUP(V119,C$4:I$52,7,FALSE),"")</f>
        <v>1000</v>
      </c>
      <c r="AE119" s="231">
        <f>IF(V119&lt;&gt;"",VLOOKUP(V119,C$4:I$52,5,FALSE),"")</f>
        <v>0</v>
      </c>
      <c r="AF119" s="231">
        <f>IF(V119&lt;&gt;"",VLOOKUP(V119,C$4:K$52,9,FALSE),"")</f>
        <v>-107</v>
      </c>
      <c r="AG119" s="231">
        <f t="shared" si="195"/>
        <v>0</v>
      </c>
      <c r="AH119" s="231">
        <f>IF(V119&lt;&gt;"",RANK(AG119,AG116:AG119),"")</f>
        <v>1</v>
      </c>
      <c r="AI119" s="231">
        <f>IF(V119&lt;&gt;"",SUMPRODUCT((AG116:AG119=AG119)*(AB116:AB119&gt;AB119)),"")</f>
        <v>0</v>
      </c>
      <c r="AJ119" s="231">
        <f>IF(V119&lt;&gt;"",SUMPRODUCT((AG116:AG119=AG119)*(AB116:AB119=AB119)*(Z116:Z119&gt;Z119)),"")</f>
        <v>0</v>
      </c>
      <c r="AK119" s="231">
        <f>IF(V119&lt;&gt;"",SUMPRODUCT((AG116:AG119=AG119)*(AB116:AB119=AB119)*(Z116:Z119=Z119)*(AD116:AD119&gt;AD119)),"")</f>
        <v>0</v>
      </c>
      <c r="AL119" s="231">
        <f>IF(V119&lt;&gt;"",SUMPRODUCT((AG116:AG119=AG119)*(AB116:AB119=AB119)*(Z116:Z119=Z119)*(AD116:AD119=AD119)*(AE116:AE119&gt;AE119)),"")</f>
        <v>0</v>
      </c>
      <c r="AM119" s="231">
        <f>IF(V119&lt;&gt;"",SUMPRODUCT((AG116:AG119=AG119)*(AB116:AB119=AB119)*(Z116:Z119=Z119)*(AD116:AD119=AD119)*(AE116:AE119=AE119)*(AF116:AF119&gt;AF119)),"")</f>
        <v>0</v>
      </c>
      <c r="AN119" s="231">
        <f>IF(V119&lt;&gt;"",SUM(AH119:AM119),"")</f>
        <v>1</v>
      </c>
      <c r="AO119" s="231" t="str">
        <f>IF(AP40&lt;&gt;"",SUMPRODUCT((AW37:AW40=AW40)*(AV37:AV40=AV40)*(AT37:AT40=AT40)*(AU37:AU40=AU40)),"")</f>
        <v/>
      </c>
      <c r="AP119" s="231" t="str">
        <f>IF(AND(AO119&lt;&gt;"",AO119&gt;1),AP40,"")</f>
        <v/>
      </c>
      <c r="AQ119" s="231" t="str">
        <f>IF(AP119&lt;&gt;"",SUMPRODUCT((DA$3:DA$105=AP119)*(DD$3:DD$105=AP120)*(DE$3:DE$105="W"))+SUMPRODUCT((DA$3:DA$105=AP119)*(DD$3:DD$105=AP117)*(DE$3:DE$105="W"))+SUMPRODUCT((DA$3:DA$105=AP119)*(DD$3:DD$105=AP118)*(DE$3:DE$105="W"))+SUMPRODUCT((DA$3:DA$105=AP120)*(DD$3:DD$105=AP119)*(DF$3:DF$105="W"))+SUMPRODUCT((DA$3:DA$105=AP117)*(DD$3:DD$105=AP119)*(DF$3:DF$105="W"))+SUMPRODUCT((DA$3:DA$105=AP118)*(DD$3:DD$105=AP119)*(DF$3:DF$105="W")),"")</f>
        <v/>
      </c>
      <c r="AR119" s="231" t="str">
        <f>IF(AP119&lt;&gt;"",SUMPRODUCT((DA$3:DA$105=AP119)*(DD$3:DD$105=AP120)*(DE$3:DE$105="D"))+SUMPRODUCT((DA$3:DA$105=AP119)*(DD$3:DD$105=AP117)*(DE$3:DE$105="D"))+SUMPRODUCT((DA$3:DA$105=AP119)*(DD$3:DD$105=AP118)*(DE$3:DE$105="D"))+SUMPRODUCT((DA$3:DA$105=AP120)*(DD$3:DD$105=AP119)*(DE$3:DE$105="D"))+SUMPRODUCT((DA$3:DA$105=AP117)*(DD$3:DD$105=AP119)*(DE$3:DE$105="D"))+SUMPRODUCT((DA$3:DA$105=AP118)*(DD$3:DD$105=AP119)*(DE$3:DE$105="D")),"")</f>
        <v/>
      </c>
      <c r="AS119" s="231" t="str">
        <f>IF(AP119&lt;&gt;"",SUMPRODUCT((DA$3:DA$105=AP119)*(DD$3:DD$105=AP120)*(DE$3:DE$105="L"))+SUMPRODUCT((DA$3:DA$105=AP119)*(DD$3:DD$105=AP117)*(DE$3:DE$105="L"))+SUMPRODUCT((DA$3:DA$105=AP119)*(DD$3:DD$105=AP118)*(DE$3:DE$105="L"))+SUMPRODUCT((DA$3:DA$105=AP120)*(DD$3:DD$105=AP119)*(DF$3:DF$105="L"))+SUMPRODUCT((DA$3:DA$105=AP117)*(DD$3:DD$105=AP119)*(DF$3:DF$105="L"))+SUMPRODUCT((DA$3:DA$105=AP118)*(DD$3:DD$105=AP119)*(DF$3:DF$105="L")),"")</f>
        <v/>
      </c>
      <c r="AT119" s="231">
        <f>SUMPRODUCT((DA$3:DA$105=AP119)*(DD$3:DD$105=AP120)*DB$3:DB$105)+SUMPRODUCT((DA$3:DA$105=AP119)*(DD$3:DD$105=AP116)*DB$3:DB$105)+SUMPRODUCT((DA$3:DA$105=AP119)*(DD$3:DD$105=AP117)*DB$3:DB$105)+SUMPRODUCT((DA$3:DA$105=AP119)*(DD$3:DD$105=AP118)*DB$3:DB$105)+SUMPRODUCT((DA$3:DA$105=AP120)*(DD$3:DD$105=AP119)*DC$3:DC$105)+SUMPRODUCT((DA$3:DA$105=AP116)*(DD$3:DD$105=AP119)*DC$3:DC$105)+SUMPRODUCT((DA$3:DA$105=AP117)*(DD$3:DD$105=AP119)*DC$3:DC$105)+SUMPRODUCT((DA$3:DA$105=AP118)*(DD$3:DD$105=AP119)*DC$3:DC$105)</f>
        <v>0</v>
      </c>
      <c r="AU119" s="231">
        <f>SUMPRODUCT((DA$3:DA$105=AP119)*(DD$3:DD$105=AP120)*DC$3:DC$105)+SUMPRODUCT((DA$3:DA$105=AP119)*(DD$3:DD$105=AP116)*DC$3:DC$105)+SUMPRODUCT((DA$3:DA$105=AP119)*(DD$3:DD$105=AP117)*DC$3:DC$105)+SUMPRODUCT((DA$3:DA$105=AP119)*(DD$3:DD$105=AP118)*DC$3:DC$105)+SUMPRODUCT((DA$3:DA$105=AP120)*(DD$3:DD$105=AP119)*DB$3:DB$105)+SUMPRODUCT((DA$3:DA$105=AP116)*(DD$3:DD$105=AP119)*DB$3:DB$105)+SUMPRODUCT((DA$3:DA$105=AP117)*(DD$3:DD$105=AP119)*DB$3:DB$105)+SUMPRODUCT((DA$3:DA$105=AP118)*(DD$3:DD$105=AP119)*DB$3:DB$105)</f>
        <v>0</v>
      </c>
      <c r="AV119" s="231">
        <f>AT119-AU119+1000</f>
        <v>1000</v>
      </c>
      <c r="AW119" s="231" t="str">
        <f t="shared" si="196"/>
        <v/>
      </c>
      <c r="AX119" s="231" t="str">
        <f>IF(AP119&lt;&gt;"",VLOOKUP(AP119,C$4:I$52,7,FALSE),"")</f>
        <v/>
      </c>
      <c r="AY119" s="231" t="str">
        <f>IF(AP119&lt;&gt;"",VLOOKUP(AP119,C$4:I$52,5,FALSE),"")</f>
        <v/>
      </c>
      <c r="AZ119" s="231" t="str">
        <f>IF(AP119&lt;&gt;"",VLOOKUP(AP119,C$4:K$52,9,FALSE),"")</f>
        <v/>
      </c>
      <c r="BA119" s="231" t="str">
        <f t="shared" si="197"/>
        <v/>
      </c>
      <c r="BB119" s="231" t="str">
        <f>IF(AP119&lt;&gt;"",RANK(BA119,BA116:BA119),"")</f>
        <v/>
      </c>
      <c r="BC119" s="231" t="str">
        <f>IF(AP119&lt;&gt;"",SUMPRODUCT((BA116:BA119=BA119)*(AV116:AV119&gt;AV119)),"")</f>
        <v/>
      </c>
      <c r="BD119" s="231" t="str">
        <f>IF(AP119&lt;&gt;"",SUMPRODUCT((BA116:BA119=BA119)*(AV116:AV119=AV119)*(AT116:AT119&gt;AT119)),"")</f>
        <v/>
      </c>
      <c r="BE119" s="231" t="str">
        <f>IF(AP119&lt;&gt;"",SUMPRODUCT((BA116:BA119=BA119)*(AV116:AV119=AV119)*(AT116:AT119=AT119)*(AX116:AX119&gt;AX119)),"")</f>
        <v/>
      </c>
      <c r="BF119" s="231" t="str">
        <f>IF(AP119&lt;&gt;"",SUMPRODUCT((BA116:BA119=BA119)*(AV116:AV119=AV119)*(AT116:AT119=AT119)*(AX116:AX119=AX119)*(AY116:AY119&gt;AY119)),"")</f>
        <v/>
      </c>
      <c r="BG119" s="231" t="str">
        <f>IF(AP119&lt;&gt;"",SUMPRODUCT((BA116:BA119=BA119)*(AV116:AV119=AV119)*(AT116:AT119=AT119)*(AX116:AX119=AX119)*(AY116:AY119=AY119)*(AZ116:AZ119&gt;AZ119)),"")</f>
        <v/>
      </c>
      <c r="BH119" s="231" t="str">
        <f t="shared" si="198"/>
        <v/>
      </c>
      <c r="DS119" s="233" t="str">
        <f>Matches!M108</f>
        <v>Match 102 Winner</v>
      </c>
      <c r="DU119" s="233" t="str">
        <f>IF(ISERROR("Calculator!"&amp;VLOOKUP(DS119,Calculator!$DS$7:$DT$54,2,FALSE)),"Calculator!dr77","Calculator!"&amp;VLOOKUP(DS119,Calculator!$DS$7:$DT$54,2,FALSE))</f>
        <v>Calculator!dr77</v>
      </c>
      <c r="DX119" s="230"/>
      <c r="DY119" s="230"/>
      <c r="DZ119" s="230"/>
      <c r="EA119" s="247"/>
      <c r="EB119" s="230"/>
      <c r="EC119" s="230"/>
    </row>
    <row r="120" spans="10:133" x14ac:dyDescent="0.25">
      <c r="DX120" s="230"/>
      <c r="DY120" s="230"/>
      <c r="DZ120" s="230"/>
      <c r="EA120" s="247"/>
      <c r="EB120" s="230"/>
      <c r="EC120" s="230"/>
    </row>
    <row r="121" spans="10:133" x14ac:dyDescent="0.25">
      <c r="U121" s="231">
        <f>IF(V122="",SUM(AH43:AM43),IF(V123="",SUM(AH44:AM44),IF(V124="",SUM(AH45:AM45),IF(V125="",SUM(AH46:AM46),0))))</f>
        <v>0</v>
      </c>
      <c r="AO121" s="231">
        <f>IF(AP123="",SUM(BB44:BG44),IF(AP124="",SUM(BB45:BG45),IF(AP125="",SUM(BB46:BG46),0)))</f>
        <v>0</v>
      </c>
      <c r="DX121" s="230"/>
      <c r="DY121" s="230"/>
      <c r="DZ121" s="230"/>
      <c r="EA121" s="247"/>
      <c r="EB121" s="230"/>
      <c r="EC121" s="230"/>
    </row>
    <row r="122" spans="10:133" x14ac:dyDescent="0.25">
      <c r="J122" s="231">
        <f>IF(COUNTIF(J$43:J$46,4)=4,1,SUMPRODUCT((J$43:J$46=J43)*(I$43:I$46=I43)*(G$43:G$46&gt;G43))+1)</f>
        <v>1</v>
      </c>
      <c r="U122" s="231">
        <f>IF(V43&lt;&gt;"",SUMPRODUCT((AC$43:AC$46=AC43)*(AB$43:AB$46=AB43)*(Z$43:Z$46=Z43)*(AA$43:AA$46=AA43)),"")</f>
        <v>4</v>
      </c>
      <c r="V122" s="231" t="str">
        <f>IF(AND(U122&lt;&gt;"",U122&gt;1),V43,"")</f>
        <v>New Zealand</v>
      </c>
      <c r="W122" s="231">
        <f>SUMPRODUCT((DA$3:DA$105=V122)*(DD$3:DD$105=V123)*(DE$3:DE$105="W"))+SUMPRODUCT((DA$3:DA$105=V122)*(DD$3:DD$105=V124)*(DE$3:DE$105="W"))+SUMPRODUCT((DA$3:DA$105=V122)*(DD$3:DD$105=V125)*(DE$3:DE$105="W"))+SUMPRODUCT((DA$3:DA$105=V122)*(DD$3:DD$105=V126)*(DE$3:DE$105="W"))+SUMPRODUCT((DA$3:DA$105=V123)*(DD$3:DD$105=V122)*(DF$3:DF$105="W"))+SUMPRODUCT((DA$3:DA$105=V124)*(DD$3:DD$105=V122)*(DF$3:DF$105="W"))+SUMPRODUCT((DA$3:DA$105=V125)*(DD$3:DD$105=V122)*(DF$3:DF$105="W"))+SUMPRODUCT((DA$3:DA$105=V126)*(DD$3:DD$105=V122)*(DF$3:DF$105="W"))</f>
        <v>0</v>
      </c>
      <c r="X122" s="231">
        <f>SUMPRODUCT((DA$3:DA$105=V122)*(DD$3:DD$105=V123)*(DE$3:DE$105="D"))+SUMPRODUCT((DA$3:DA$105=V122)*(DD$3:DD$105=V124)*(DE$3:DE$105="D"))+SUMPRODUCT((DA$3:DA$105=V122)*(DD$3:DD$105=V125)*(DE$3:DE$105="D"))+SUMPRODUCT((DA$3:DA$105=V122)*(DD$3:DD$105=V126)*(DE$3:DE$105="D"))+SUMPRODUCT((DA$3:DA$105=V123)*(DD$3:DD$105=V122)*(DE$3:DE$105="D"))+SUMPRODUCT((DA$3:DA$105=V124)*(DD$3:DD$105=V122)*(DE$3:DE$105="D"))+SUMPRODUCT((DA$3:DA$105=V125)*(DD$3:DD$105=V122)*(DE$3:DE$105="D"))+SUMPRODUCT((DA$3:DA$105=V126)*(DD$3:DD$105=V122)*(DE$3:DE$105="D"))</f>
        <v>0</v>
      </c>
      <c r="Y122" s="231">
        <f>SUMPRODUCT((DA$3:DA$105=V122)*(DD$3:DD$105=V123)*(DE$3:DE$105="L"))+SUMPRODUCT((DA$3:DA$105=V122)*(DD$3:DD$105=V124)*(DE$3:DE$105="L"))+SUMPRODUCT((DA$3:DA$105=V122)*(DD$3:DD$105=V125)*(DE$3:DE$105="L"))+SUMPRODUCT((DA$3:DA$105=V122)*(DD$3:DD$105=V126)*(DE$3:DE$105="L"))+SUMPRODUCT((DA$3:DA$105=V123)*(DD$3:DD$105=V122)*(DF$3:DF$105="L"))+SUMPRODUCT((DA$3:DA$105=V124)*(DD$3:DD$105=V122)*(DF$3:DF$105="L"))+SUMPRODUCT((DA$3:DA$105=V125)*(DD$3:DD$105=V122)*(DF$3:DF$105="L"))+SUMPRODUCT((DA$3:DA$105=V126)*(DD$3:DD$105=V122)*(DF$3:DF$105="L"))</f>
        <v>0</v>
      </c>
      <c r="Z122" s="231">
        <f>SUMPRODUCT((DA$3:DA$105=V122)*(DD$3:DD$105=V123)*DB$3:DB$105)+SUMPRODUCT((DA$3:DA$105=V122)*(DD$3:DD$105=V124)*DB$3:DB$105)+SUMPRODUCT((DA$3:DA$105=V122)*(DD$3:DD$105=V125)*DB$3:DB$105)+SUMPRODUCT((DA$3:DA$105=V122)*(DD$3:DD$105=V126)*DB$3:DB$105)+SUMPRODUCT((DA$3:DA$105=V123)*(DD$3:DD$105=V122)*DC$3:DC$105)+SUMPRODUCT((DA$3:DA$105=V124)*(DD$3:DD$105=V122)*DC$3:DC$105)+SUMPRODUCT((DA$3:DA$105=V125)*(DD$3:DD$105=V122)*DC$3:DC$105)+SUMPRODUCT((DA$3:DA$105=V126)*(DD$3:DD$105=V122)*DC$3:DC$105)</f>
        <v>0</v>
      </c>
      <c r="AA122" s="231">
        <f>SUMPRODUCT((DA$3:DA$105=V122)*(DD$3:DD$105=V123)*DC$3:DC$105)+SUMPRODUCT((DA$3:DA$105=V122)*(DD$3:DD$105=V124)*DC$3:DC$105)+SUMPRODUCT((DA$3:DA$105=V122)*(DD$3:DD$105=V125)*DC$3:DC$105)+SUMPRODUCT((DA$3:DA$105=V122)*(DD$3:DD$105=V126)*DC$3:DC$105)+SUMPRODUCT((DA$3:DA$105=V123)*(DD$3:DD$105=V122)*DB$3:DB$105)+SUMPRODUCT((DA$3:DA$105=V124)*(DD$3:DD$105=V122)*DB$3:DB$105)+SUMPRODUCT((DA$3:DA$105=V125)*(DD$3:DD$105=V122)*DB$3:DB$105)+SUMPRODUCT((DA$3:DA$105=V126)*(DD$3:DD$105=V122)*DB$3:DB$105)</f>
        <v>0</v>
      </c>
      <c r="AB122" s="231">
        <f>Z122-AA122+1000</f>
        <v>1000</v>
      </c>
      <c r="AC122" s="231">
        <f>IF(V122&lt;&gt;"",W122*3+X122*1,"")</f>
        <v>0</v>
      </c>
      <c r="AD122" s="231">
        <f>IF(V122&lt;&gt;"",VLOOKUP(V122,C$4:I$52,7,FALSE),"")</f>
        <v>1000</v>
      </c>
      <c r="AE122" s="231">
        <f>IF(V122&lt;&gt;"",VLOOKUP(V122,C$4:I$52,5,FALSE),"")</f>
        <v>0</v>
      </c>
      <c r="AF122" s="231">
        <f>IF(V122&lt;&gt;"",VLOOKUP(V122,C$4:K$52,9,FALSE),"")</f>
        <v>-185</v>
      </c>
      <c r="AG122" s="231">
        <f>AC122</f>
        <v>0</v>
      </c>
      <c r="AH122" s="231">
        <f>IF(V122&lt;&gt;"",RANK(AG122,AG$122:AG$125),"")</f>
        <v>1</v>
      </c>
      <c r="AI122" s="231">
        <f>IF(V122&lt;&gt;"",SUMPRODUCT((AG$122:AG$125=AG122)*(AB$122:AB$125&gt;AB122)),"")</f>
        <v>0</v>
      </c>
      <c r="AJ122" s="231">
        <f>IF(V122&lt;&gt;"",SUMPRODUCT((AG$122:AG$125=AG122)*(AB$122:AB$125=AB122)*(Z$122:Z$125&gt;Z122)),"")</f>
        <v>0</v>
      </c>
      <c r="AK122" s="231">
        <f>IF(V122&lt;&gt;"",SUMPRODUCT((AG$122:AG$125=AG122)*(AB$122:AB$125=AB122)*(Z$122:Z$125=Z122)*(AD$122:AD$125&gt;AD122)),"")</f>
        <v>0</v>
      </c>
      <c r="AL122" s="231">
        <f>IF(V122&lt;&gt;"",SUMPRODUCT((AG$122:AG$125=AG122)*(AB$122:AB$125=AB122)*(Z$122:Z$125=Z122)*(AD$122:AD$125=AD122)*(AE$122:AE$125&gt;AE122)),"")</f>
        <v>0</v>
      </c>
      <c r="AM122" s="231">
        <f>IF(V122&lt;&gt;"",SUMPRODUCT((AG$122:AG$125=AG122)*(AB$122:AB$125=AB122)*(Z$122:Z$125=Z122)*(AD$122:AD$125=AD122)*(AE$122:AE$125=AE122)*(AF$122:AF$125&gt;AF122)),"")</f>
        <v>3</v>
      </c>
      <c r="AN122" s="231">
        <f>IF(V122&lt;&gt;"",SUM(AH122:AM122),"")</f>
        <v>4</v>
      </c>
      <c r="DX122" s="230"/>
      <c r="DY122" s="230"/>
      <c r="DZ122" s="230"/>
      <c r="EA122" s="247"/>
      <c r="EB122" s="230"/>
      <c r="EC122" s="230"/>
    </row>
    <row r="123" spans="10:133" x14ac:dyDescent="0.25">
      <c r="J123" s="231">
        <f>IF(COUNTIF(J$43:J$46,4)=4,1,SUMPRODUCT((J$43:J$46=J44)*(I$43:I$46=I44)*(G$43:G$46&gt;G44))+1)</f>
        <v>1</v>
      </c>
      <c r="U123" s="231">
        <f>IF(V44&lt;&gt;"",SUMPRODUCT((AC$43:AC$46=AC44)*(AB$43:AB$46=AB44)*(Z$43:Z$46=Z44)*(AA$43:AA$46=AA44)),"")</f>
        <v>4</v>
      </c>
      <c r="V123" s="231" t="str">
        <f>IF(AND(U123&lt;&gt;"",U123&gt;1),V44,"")</f>
        <v>Egypt</v>
      </c>
      <c r="W123" s="231">
        <f>SUMPRODUCT((DA$3:DA$105=V123)*(DD$3:DD$105=V124)*(DE$3:DE$105="W"))+SUMPRODUCT((DA$3:DA$105=V123)*(DD$3:DD$105=V125)*(DE$3:DE$105="W"))+SUMPRODUCT((DA$3:DA$105=V123)*(DD$3:DD$105=V126)*(DE$3:DE$105="W"))+SUMPRODUCT((DA$3:DA$105=V123)*(DD$3:DD$105=V122)*(DE$3:DE$105="W"))+SUMPRODUCT((DA$3:DA$105=V124)*(DD$3:DD$105=V123)*(DF$3:DF$105="W"))+SUMPRODUCT((DA$3:DA$105=V125)*(DD$3:DD$105=V123)*(DF$3:DF$105="W"))+SUMPRODUCT((DA$3:DA$105=V126)*(DD$3:DD$105=V123)*(DF$3:DF$105="W"))+SUMPRODUCT((DA$3:DA$105=V122)*(DD$3:DD$105=V123)*(DF$3:DF$105="W"))</f>
        <v>0</v>
      </c>
      <c r="X123" s="231">
        <f>SUMPRODUCT((DA$3:DA$105=V123)*(DD$3:DD$105=V124)*(DE$3:DE$105="D"))+SUMPRODUCT((DA$3:DA$105=V123)*(DD$3:DD$105=V125)*(DE$3:DE$105="D"))+SUMPRODUCT((DA$3:DA$105=V123)*(DD$3:DD$105=V126)*(DE$3:DE$105="D"))+SUMPRODUCT((DA$3:DA$105=V123)*(DD$3:DD$105=V122)*(DE$3:DE$105="D"))+SUMPRODUCT((DA$3:DA$105=V124)*(DD$3:DD$105=V123)*(DE$3:DE$105="D"))+SUMPRODUCT((DA$3:DA$105=V125)*(DD$3:DD$105=V123)*(DE$3:DE$105="D"))+SUMPRODUCT((DA$3:DA$105=V126)*(DD$3:DD$105=V123)*(DE$3:DE$105="D"))+SUMPRODUCT((DA$3:DA$105=V122)*(DD$3:DD$105=V123)*(DE$3:DE$105="D"))</f>
        <v>0</v>
      </c>
      <c r="Y123" s="231">
        <f>SUMPRODUCT((DA$3:DA$105=V123)*(DD$3:DD$105=V124)*(DE$3:DE$105="L"))+SUMPRODUCT((DA$3:DA$105=V123)*(DD$3:DD$105=V125)*(DE$3:DE$105="L"))+SUMPRODUCT((DA$3:DA$105=V123)*(DD$3:DD$105=V126)*(DE$3:DE$105="L"))+SUMPRODUCT((DA$3:DA$105=V123)*(DD$3:DD$105=V122)*(DE$3:DE$105="L"))+SUMPRODUCT((DA$3:DA$105=V124)*(DD$3:DD$105=V123)*(DF$3:DF$105="L"))+SUMPRODUCT((DA$3:DA$105=V125)*(DD$3:DD$105=V123)*(DF$3:DF$105="L"))+SUMPRODUCT((DA$3:DA$105=V126)*(DD$3:DD$105=V123)*(DF$3:DF$105="L"))+SUMPRODUCT((DA$3:DA$105=V122)*(DD$3:DD$105=V123)*(DF$3:DF$105="L"))</f>
        <v>0</v>
      </c>
      <c r="Z123" s="231">
        <f>SUMPRODUCT((DA$3:DA$105=V123)*(DD$3:DD$105=V124)*DB$3:DB$105)+SUMPRODUCT((DA$3:DA$105=V123)*(DD$3:DD$105=V125)*DB$3:DB$105)+SUMPRODUCT((DA$3:DA$105=V123)*(DD$3:DD$105=V126)*DB$3:DB$105)+SUMPRODUCT((DA$3:DA$105=V123)*(DD$3:DD$105=V122)*DB$3:DB$105)+SUMPRODUCT((DA$3:DA$105=V124)*(DD$3:DD$105=V123)*DC$3:DC$105)+SUMPRODUCT((DA$3:DA$105=V125)*(DD$3:DD$105=V123)*DC$3:DC$105)+SUMPRODUCT((DA$3:DA$105=V126)*(DD$3:DD$105=V123)*DC$3:DC$105)+SUMPRODUCT((DA$3:DA$105=V122)*(DD$3:DD$105=V123)*DC$3:DC$105)</f>
        <v>0</v>
      </c>
      <c r="AA123" s="231">
        <f>SUMPRODUCT((DA$3:DA$105=V123)*(DD$3:DD$105=V124)*DC$3:DC$105)+SUMPRODUCT((DA$3:DA$105=V123)*(DD$3:DD$105=V125)*DC$3:DC$105)+SUMPRODUCT((DA$3:DA$105=V123)*(DD$3:DD$105=V126)*DC$3:DC$105)+SUMPRODUCT((DA$3:DA$105=V123)*(DD$3:DD$105=V122)*DC$3:DC$105)+SUMPRODUCT((DA$3:DA$105=V124)*(DD$3:DD$105=V123)*DB$3:DB$105)+SUMPRODUCT((DA$3:DA$105=V125)*(DD$3:DD$105=V123)*DB$3:DB$105)+SUMPRODUCT((DA$3:DA$105=V126)*(DD$3:DD$105=V123)*DB$3:DB$105)+SUMPRODUCT((DA$3:DA$105=V122)*(DD$3:DD$105=V123)*DB$3:DB$105)</f>
        <v>0</v>
      </c>
      <c r="AB123" s="231">
        <f>Z123-AA123+1000</f>
        <v>1000</v>
      </c>
      <c r="AC123" s="231">
        <f t="shared" ref="AC123:AC125" si="199">IF(V123&lt;&gt;"",W123*3+X123*1,"")</f>
        <v>0</v>
      </c>
      <c r="AD123" s="231">
        <f>IF(V123&lt;&gt;"",VLOOKUP(V123,C$4:I$52,7,FALSE),"")</f>
        <v>1000</v>
      </c>
      <c r="AE123" s="231">
        <f>IF(V123&lt;&gt;"",VLOOKUP(V123,C$4:I$52,5,FALSE),"")</f>
        <v>0</v>
      </c>
      <c r="AF123" s="231">
        <f>IF(V123&lt;&gt;"",VLOOKUP(V123,C$4:K$52,9,FALSE),"")</f>
        <v>-131</v>
      </c>
      <c r="AG123" s="231">
        <f t="shared" ref="AG123:AG125" si="200">AC123</f>
        <v>0</v>
      </c>
      <c r="AH123" s="231">
        <f t="shared" ref="AH123:AH125" si="201">IF(V123&lt;&gt;"",RANK(AG123,AG$122:AG$125),"")</f>
        <v>1</v>
      </c>
      <c r="AI123" s="231">
        <f t="shared" ref="AI123:AI125" si="202">IF(V123&lt;&gt;"",SUMPRODUCT((AG$122:AG$125=AG123)*(AB$122:AB$125&gt;AB123)),"")</f>
        <v>0</v>
      </c>
      <c r="AJ123" s="231">
        <f t="shared" ref="AJ123:AJ125" si="203">IF(V123&lt;&gt;"",SUMPRODUCT((AG$122:AG$125=AG123)*(AB$122:AB$125=AB123)*(Z$122:Z$125&gt;Z123)),"")</f>
        <v>0</v>
      </c>
      <c r="AK123" s="231">
        <f t="shared" ref="AK123:AK125" si="204">IF(V123&lt;&gt;"",SUMPRODUCT((AG$122:AG$125=AG123)*(AB$122:AB$125=AB123)*(Z$122:Z$125=Z123)*(AD$122:AD$125&gt;AD123)),"")</f>
        <v>0</v>
      </c>
      <c r="AL123" s="231">
        <f t="shared" ref="AL123:AL125" si="205">IF(V123&lt;&gt;"",SUMPRODUCT((AG$122:AG$125=AG123)*(AB$122:AB$125=AB123)*(Z$122:Z$125=Z123)*(AD$122:AD$125=AD123)*(AE$122:AE$125&gt;AE123)),"")</f>
        <v>0</v>
      </c>
      <c r="AM123" s="231">
        <f t="shared" ref="AM123:AM125" si="206">IF(V123&lt;&gt;"",SUMPRODUCT((AG$122:AG$125=AG123)*(AB$122:AB$125=AB123)*(Z$122:Z$125=Z123)*(AD$122:AD$125=AD123)*(AE$122:AE$125=AE123)*(AF$122:AF$125&gt;AF123)),"")</f>
        <v>2</v>
      </c>
      <c r="AN123" s="231">
        <f t="shared" ref="AN123:AN125" si="207">IF(V123&lt;&gt;"",SUM(AH123:AM123),"")</f>
        <v>3</v>
      </c>
      <c r="AO123" s="231" t="str">
        <f>IF(AP44&lt;&gt;"",SUMPRODUCT((AW$43:AW$46=AW44)*(AV$43:AV$46=AV44)*(AT$43:AT$46=AT44)*(AU$43:AU$46=AU44)),"")</f>
        <v/>
      </c>
      <c r="AP123" s="231" t="str">
        <f>IF(AND(AO123&lt;&gt;"",AO123&gt;1),AP44,"")</f>
        <v/>
      </c>
      <c r="AQ123" s="231">
        <f>SUMPRODUCT((DA$3:DA$105=AP123)*(DD$3:DD$105=AP124)*(DE$3:DE$105="W"))+SUMPRODUCT((DA$3:DA$105=AP123)*(DD$3:DD$105=AP125)*(DE$3:DE$105="W"))+SUMPRODUCT((DA$3:DA$105=AP123)*(DD$3:DD$105=AP126)*(DE$3:DE$105="W"))+SUMPRODUCT((DA$3:DA$105=AP124)*(DD$3:DD$105=AP123)*(DF$3:DF$105="W"))+SUMPRODUCT((DA$3:DA$105=AP125)*(DD$3:DD$105=AP123)*(DF$3:DF$105="W"))+SUMPRODUCT((DA$3:DA$105=AP126)*(DD$3:DD$105=AP123)*(DF$3:DF$105="W"))</f>
        <v>0</v>
      </c>
      <c r="AR123" s="231">
        <f>SUMPRODUCT((DA$3:DA$105=AP123)*(DD$3:DD$105=AP124)*(DE$3:DE$105="D"))+SUMPRODUCT((DA$3:DA$105=AP123)*(DD$3:DD$105=AP125)*(DE$3:DE$105="D"))+SUMPRODUCT((DA$3:DA$105=AP123)*(DD$3:DD$105=AP126)*(DE$3:DE$105="D"))+SUMPRODUCT((DA$3:DA$105=AP124)*(DD$3:DD$105=AP123)*(DE$3:DE$105="D"))+SUMPRODUCT((DA$3:DA$105=AP125)*(DD$3:DD$105=AP123)*(DE$3:DE$105="D"))+SUMPRODUCT((DA$3:DA$105=AP126)*(DD$3:DD$105=AP123)*(DE$3:DE$105="D"))</f>
        <v>0</v>
      </c>
      <c r="AS123" s="231">
        <f>SUMPRODUCT((DA$3:DA$105=AP123)*(DD$3:DD$105=AP124)*(DE$3:DE$105="L"))+SUMPRODUCT((DA$3:DA$105=AP123)*(DD$3:DD$105=AP125)*(DE$3:DE$105="L"))+SUMPRODUCT((DA$3:DA$105=AP123)*(DD$3:DD$105=AP126)*(DE$3:DE$105="L"))+SUMPRODUCT((DA$3:DA$105=AP124)*(DD$3:DD$105=AP123)*(DF$3:DF$105="L"))+SUMPRODUCT((DA$3:DA$105=AP125)*(DD$3:DD$105=AP123)*(DF$3:DF$105="L"))+SUMPRODUCT((DA$3:DA$105=AP126)*(DD$3:DD$105=AP123)*(DF$3:DF$105="L"))</f>
        <v>0</v>
      </c>
      <c r="AT123" s="231">
        <f>SUMPRODUCT((DA$3:DA$105=AP123)*(DD$3:DD$105=AP124)*DB$3:DB$105)+SUMPRODUCT((DA$3:DA$105=AP123)*(DD$3:DD$105=AP125)*DB$3:DB$105)+SUMPRODUCT((DA$3:DA$105=AP123)*(DD$3:DD$105=AP126)*DB$3:DB$105)+SUMPRODUCT((DA$3:DA$105=AP123)*(DD$3:DD$105=AP122)*DB$3:DB$105)+SUMPRODUCT((DA$3:DA$105=AP124)*(DD$3:DD$105=AP123)*DC$3:DC$105)+SUMPRODUCT((DA$3:DA$105=AP125)*(DD$3:DD$105=AP123)*DC$3:DC$105)+SUMPRODUCT((DA$3:DA$105=AP126)*(DD$3:DD$105=AP123)*DC$3:DC$105)+SUMPRODUCT((DA$3:DA$105=AP122)*(DD$3:DD$105=AP123)*DC$3:DC$105)</f>
        <v>0</v>
      </c>
      <c r="AU123" s="231">
        <f>SUMPRODUCT((DA$3:DA$105=AP123)*(DD$3:DD$105=AP124)*DC$3:DC$105)+SUMPRODUCT((DA$3:DA$105=AP123)*(DD$3:DD$105=AP125)*DC$3:DC$105)+SUMPRODUCT((DA$3:DA$105=AP123)*(DD$3:DD$105=AP126)*DC$3:DC$105)+SUMPRODUCT((DA$3:DA$105=AP123)*(DD$3:DD$105=AP122)*DC$3:DC$105)+SUMPRODUCT((DA$3:DA$105=AP124)*(DD$3:DD$105=AP123)*DB$3:DB$105)+SUMPRODUCT((DA$3:DA$105=AP125)*(DD$3:DD$105=AP123)*DB$3:DB$105)+SUMPRODUCT((DA$3:DA$105=AP126)*(DD$3:DD$105=AP123)*DB$3:DB$105)+SUMPRODUCT((DA$3:DA$105=AP122)*(DD$3:DD$105=AP123)*DB$3:DB$105)</f>
        <v>0</v>
      </c>
      <c r="AV123" s="231">
        <f>AT123-AU123+1000</f>
        <v>1000</v>
      </c>
      <c r="AW123" s="231" t="str">
        <f t="shared" ref="AW123:AW125" si="208">IF(AP123&lt;&gt;"",AQ123*3+AR123*1,"")</f>
        <v/>
      </c>
      <c r="AX123" s="231" t="str">
        <f>IF(AP123&lt;&gt;"",VLOOKUP(AP123,C$4:I$52,7,FALSE),"")</f>
        <v/>
      </c>
      <c r="AY123" s="231" t="str">
        <f>IF(AP123&lt;&gt;"",VLOOKUP(AP123,C$4:I$52,5,FALSE),"")</f>
        <v/>
      </c>
      <c r="AZ123" s="231" t="str">
        <f>IF(AP123&lt;&gt;"",VLOOKUP(AP123,C$4:K$52,9,FALSE),"")</f>
        <v/>
      </c>
      <c r="BA123" s="231" t="str">
        <f t="shared" ref="BA123:BA125" si="209">AW123</f>
        <v/>
      </c>
      <c r="BB123" s="231" t="str">
        <f>IF(AP123&lt;&gt;"",RANK(BA123,BA$122:BA$125),"")</f>
        <v/>
      </c>
      <c r="BC123" s="231" t="str">
        <f>IF(AP123&lt;&gt;"",SUMPRODUCT((BA$122:BA$125=BA123)*(AV$122:AV$125&gt;AV123)),"")</f>
        <v/>
      </c>
      <c r="BD123" s="231" t="str">
        <f>IF(AP123&lt;&gt;"",SUMPRODUCT((BA$122:BA$125=BA123)*(AV$122:AV$125=AV123)*(AT$122:AT$125&gt;AT123)),"")</f>
        <v/>
      </c>
      <c r="BE123" s="231" t="str">
        <f>IF(AP123&lt;&gt;"",SUMPRODUCT((BA$122:BA$125=BA123)*(AV$122:AV$125=AV123)*(AT$122:AT$125=AT123)*(AX$122:AX$125&gt;AX123)),"")</f>
        <v/>
      </c>
      <c r="BF123" s="231" t="str">
        <f>IF(AP123&lt;&gt;"",SUMPRODUCT((BA$122:BA$125=BA123)*(AV$122:AV$125=AV123)*(AT$122:AT$125=AT123)*(AX$122:AX$125=AX123)*(AY$122:AY$125&gt;AY123)),"")</f>
        <v/>
      </c>
      <c r="BG123" s="231" t="str">
        <f>IF(AP123&lt;&gt;"",SUMPRODUCT((BA$122:BA$125=BA123)*(AV$122:AV$125=AV123)*(AT$122:AT$125=AT123)*(AX$122:AX$125=AX123)*(AY$122:AY$125=AY123)*(AZ$122:AZ$125&gt;AZ123)),"")</f>
        <v/>
      </c>
      <c r="BH123" s="231" t="str">
        <f>IF(AP123&lt;&gt;"",SUM(BB123:BG123)+1,"")</f>
        <v/>
      </c>
      <c r="DX123" s="230"/>
      <c r="DY123" s="230"/>
      <c r="DZ123" s="230"/>
      <c r="EA123" s="247"/>
      <c r="EB123" s="230"/>
      <c r="EC123" s="230"/>
    </row>
    <row r="124" spans="10:133" x14ac:dyDescent="0.25">
      <c r="J124" s="231">
        <f>IF(COUNTIF(J$43:J$46,4)=4,1,SUMPRODUCT((J$43:J$46=J45)*(I$43:I$46=I45)*(G$43:G$46&gt;G45))+1)</f>
        <v>1</v>
      </c>
      <c r="U124" s="231">
        <f>IF(V45&lt;&gt;"",SUMPRODUCT((AC$43:AC$46=AC45)*(AB$43:AB$46=AB45)*(Z$43:Z$46=Z45)*(AA$43:AA$46=AA45)),"")</f>
        <v>4</v>
      </c>
      <c r="V124" s="231" t="str">
        <f>IF(AND(U124&lt;&gt;"",U124&gt;1),V45,"")</f>
        <v>Iran</v>
      </c>
      <c r="W124" s="231">
        <f>SUMPRODUCT((DA$3:DA$105=V124)*(DD$3:DD$105=V125)*(DE$3:DE$105="W"))+SUMPRODUCT((DA$3:DA$105=V124)*(DD$3:DD$105=V126)*(DE$3:DE$105="W"))+SUMPRODUCT((DA$3:DA$105=V124)*(DD$3:DD$105=V122)*(DE$3:DE$105="W"))+SUMPRODUCT((DA$3:DA$105=V124)*(DD$3:DD$105=V123)*(DE$3:DE$105="W"))+SUMPRODUCT((DA$3:DA$105=V125)*(DD$3:DD$105=V124)*(DF$3:DF$105="W"))+SUMPRODUCT((DA$3:DA$105=V126)*(DD$3:DD$105=V124)*(DF$3:DF$105="W"))+SUMPRODUCT((DA$3:DA$105=V122)*(DD$3:DD$105=V124)*(DF$3:DF$105="W"))+SUMPRODUCT((DA$3:DA$105=V123)*(DD$3:DD$105=V124)*(DF$3:DF$105="W"))</f>
        <v>0</v>
      </c>
      <c r="X124" s="231">
        <f>SUMPRODUCT((DA$3:DA$105=V124)*(DD$3:DD$105=V125)*(DE$3:DE$105="D"))+SUMPRODUCT((DA$3:DA$105=V124)*(DD$3:DD$105=V126)*(DE$3:DE$105="D"))+SUMPRODUCT((DA$3:DA$105=V124)*(DD$3:DD$105=V122)*(DE$3:DE$105="D"))+SUMPRODUCT((DA$3:DA$105=V124)*(DD$3:DD$105=V123)*(DE$3:DE$105="D"))+SUMPRODUCT((DA$3:DA$105=V125)*(DD$3:DD$105=V124)*(DE$3:DE$105="D"))+SUMPRODUCT((DA$3:DA$105=V126)*(DD$3:DD$105=V124)*(DE$3:DE$105="D"))+SUMPRODUCT((DA$3:DA$105=V122)*(DD$3:DD$105=V124)*(DE$3:DE$105="D"))+SUMPRODUCT((DA$3:DA$105=V123)*(DD$3:DD$105=V124)*(DE$3:DE$105="D"))</f>
        <v>0</v>
      </c>
      <c r="Y124" s="231">
        <f>SUMPRODUCT((DA$3:DA$105=V124)*(DD$3:DD$105=V125)*(DE$3:DE$105="L"))+SUMPRODUCT((DA$3:DA$105=V124)*(DD$3:DD$105=V126)*(DE$3:DE$105="L"))+SUMPRODUCT((DA$3:DA$105=V124)*(DD$3:DD$105=V122)*(DE$3:DE$105="L"))+SUMPRODUCT((DA$3:DA$105=V124)*(DD$3:DD$105=V123)*(DE$3:DE$105="L"))+SUMPRODUCT((DA$3:DA$105=V125)*(DD$3:DD$105=V124)*(DF$3:DF$105="L"))+SUMPRODUCT((DA$3:DA$105=V126)*(DD$3:DD$105=V124)*(DF$3:DF$105="L"))+SUMPRODUCT((DA$3:DA$105=V122)*(DD$3:DD$105=V124)*(DF$3:DF$105="L"))+SUMPRODUCT((DA$3:DA$105=V123)*(DD$3:DD$105=V124)*(DF$3:DF$105="L"))</f>
        <v>0</v>
      </c>
      <c r="Z124" s="231">
        <f>SUMPRODUCT((DA$3:DA$105=V124)*(DD$3:DD$105=V125)*DB$3:DB$105)+SUMPRODUCT((DA$3:DA$105=V124)*(DD$3:DD$105=V126)*DB$3:DB$105)+SUMPRODUCT((DA$3:DA$105=V124)*(DD$3:DD$105=V122)*DB$3:DB$105)+SUMPRODUCT((DA$3:DA$105=V124)*(DD$3:DD$105=V123)*DB$3:DB$105)+SUMPRODUCT((DA$3:DA$105=V125)*(DD$3:DD$105=V124)*DC$3:DC$105)+SUMPRODUCT((DA$3:DA$105=V126)*(DD$3:DD$105=V124)*DC$3:DC$105)+SUMPRODUCT((DA$3:DA$105=V122)*(DD$3:DD$105=V124)*DC$3:DC$105)+SUMPRODUCT((DA$3:DA$105=V123)*(DD$3:DD$105=V124)*DC$3:DC$105)</f>
        <v>0</v>
      </c>
      <c r="AA124" s="231">
        <f>SUMPRODUCT((DA$3:DA$105=V124)*(DD$3:DD$105=V125)*DC$3:DC$105)+SUMPRODUCT((DA$3:DA$105=V124)*(DD$3:DD$105=V126)*DC$3:DC$105)+SUMPRODUCT((DA$3:DA$105=V124)*(DD$3:DD$105=V122)*DC$3:DC$105)+SUMPRODUCT((DA$3:DA$105=V124)*(DD$3:DD$105=V123)*DC$3:DC$105)+SUMPRODUCT((DA$3:DA$105=V125)*(DD$3:DD$105=V124)*DB$3:DB$105)+SUMPRODUCT((DA$3:DA$105=V126)*(DD$3:DD$105=V124)*DB$3:DB$105)+SUMPRODUCT((DA$3:DA$105=V122)*(DD$3:DD$105=V124)*DB$3:DB$105)+SUMPRODUCT((DA$3:DA$105=V123)*(DD$3:DD$105=V124)*DB$3:DB$105)</f>
        <v>0</v>
      </c>
      <c r="AB124" s="231">
        <f>Z124-AA124+1000</f>
        <v>1000</v>
      </c>
      <c r="AC124" s="231">
        <f t="shared" si="199"/>
        <v>0</v>
      </c>
      <c r="AD124" s="231">
        <f>IF(V124&lt;&gt;"",VLOOKUP(V124,C$4:I$52,7,FALSE),"")</f>
        <v>1000</v>
      </c>
      <c r="AE124" s="231">
        <f>IF(V124&lt;&gt;"",VLOOKUP(V124,C$4:I$52,5,FALSE),"")</f>
        <v>0</v>
      </c>
      <c r="AF124" s="231">
        <f>IF(V124&lt;&gt;"",VLOOKUP(V124,C$4:K$52,9,FALSE),"")</f>
        <v>-120</v>
      </c>
      <c r="AG124" s="231">
        <f t="shared" si="200"/>
        <v>0</v>
      </c>
      <c r="AH124" s="231">
        <f t="shared" si="201"/>
        <v>1</v>
      </c>
      <c r="AI124" s="231">
        <f t="shared" si="202"/>
        <v>0</v>
      </c>
      <c r="AJ124" s="231">
        <f t="shared" si="203"/>
        <v>0</v>
      </c>
      <c r="AK124" s="231">
        <f t="shared" si="204"/>
        <v>0</v>
      </c>
      <c r="AL124" s="231">
        <f t="shared" si="205"/>
        <v>0</v>
      </c>
      <c r="AM124" s="231">
        <f t="shared" si="206"/>
        <v>1</v>
      </c>
      <c r="AN124" s="231">
        <f t="shared" si="207"/>
        <v>2</v>
      </c>
      <c r="AO124" s="231" t="str">
        <f>IF(AP45&lt;&gt;"",SUMPRODUCT((AW$43:AW$46=AW45)*(AV$43:AV$46=AV45)*(AT$43:AT$46=AT45)*(AU$43:AU$46=AU45)),"")</f>
        <v/>
      </c>
      <c r="AP124" s="231" t="str">
        <f>IF(AND(AO124&lt;&gt;"",AO124&gt;1),AP45,"")</f>
        <v/>
      </c>
      <c r="AQ124" s="231">
        <f>SUMPRODUCT((DA$3:DA$105=AP124)*(DD$3:DD$105=AP125)*(DE$3:DE$105="W"))+SUMPRODUCT((DA$3:DA$105=AP124)*(DD$3:DD$105=AP126)*(DE$3:DE$105="W"))+SUMPRODUCT((DA$3:DA$105=AP124)*(DD$3:DD$105=AP123)*(DE$3:DE$105="W"))+SUMPRODUCT((DA$3:DA$105=AP125)*(DD$3:DD$105=AP124)*(DF$3:DF$105="W"))+SUMPRODUCT((DA$3:DA$105=AP126)*(DD$3:DD$105=AP124)*(DF$3:DF$105="W"))+SUMPRODUCT((DA$3:DA$105=AP123)*(DD$3:DD$105=AP124)*(DF$3:DF$105="W"))</f>
        <v>0</v>
      </c>
      <c r="AR124" s="231">
        <f>SUMPRODUCT((DA$3:DA$105=AP124)*(DD$3:DD$105=AP125)*(DE$3:DE$105="D"))+SUMPRODUCT((DA$3:DA$105=AP124)*(DD$3:DD$105=AP126)*(DE$3:DE$105="D"))+SUMPRODUCT((DA$3:DA$105=AP124)*(DD$3:DD$105=AP123)*(DE$3:DE$105="D"))+SUMPRODUCT((DA$3:DA$105=AP125)*(DD$3:DD$105=AP124)*(DE$3:DE$105="D"))+SUMPRODUCT((DA$3:DA$105=AP126)*(DD$3:DD$105=AP124)*(DE$3:DE$105="D"))+SUMPRODUCT((DA$3:DA$105=AP123)*(DD$3:DD$105=AP124)*(DE$3:DE$105="D"))</f>
        <v>0</v>
      </c>
      <c r="AS124" s="231">
        <f>SUMPRODUCT((DA$3:DA$105=AP124)*(DD$3:DD$105=AP125)*(DE$3:DE$105="L"))+SUMPRODUCT((DA$3:DA$105=AP124)*(DD$3:DD$105=AP126)*(DE$3:DE$105="L"))+SUMPRODUCT((DA$3:DA$105=AP124)*(DD$3:DD$105=AP123)*(DE$3:DE$105="L"))+SUMPRODUCT((DA$3:DA$105=AP125)*(DD$3:DD$105=AP124)*(DF$3:DF$105="L"))+SUMPRODUCT((DA$3:DA$105=AP126)*(DD$3:DD$105=AP124)*(DF$3:DF$105="L"))+SUMPRODUCT((DA$3:DA$105=AP123)*(DD$3:DD$105=AP124)*(DF$3:DF$105="L"))</f>
        <v>0</v>
      </c>
      <c r="AT124" s="231">
        <f>SUMPRODUCT((DA$3:DA$105=AP124)*(DD$3:DD$105=AP125)*DB$3:DB$105)+SUMPRODUCT((DA$3:DA$105=AP124)*(DD$3:DD$105=AP126)*DB$3:DB$105)+SUMPRODUCT((DA$3:DA$105=AP124)*(DD$3:DD$105=AP122)*DB$3:DB$105)+SUMPRODUCT((DA$3:DA$105=AP124)*(DD$3:DD$105=AP123)*DB$3:DB$105)+SUMPRODUCT((DA$3:DA$105=AP125)*(DD$3:DD$105=AP124)*DC$3:DC$105)+SUMPRODUCT((DA$3:DA$105=AP126)*(DD$3:DD$105=AP124)*DC$3:DC$105)+SUMPRODUCT((DA$3:DA$105=AP122)*(DD$3:DD$105=AP124)*DC$3:DC$105)+SUMPRODUCT((DA$3:DA$105=AP123)*(DD$3:DD$105=AP124)*DC$3:DC$105)</f>
        <v>0</v>
      </c>
      <c r="AU124" s="231">
        <f>SUMPRODUCT((DA$3:DA$105=AP124)*(DD$3:DD$105=AP125)*DC$3:DC$105)+SUMPRODUCT((DA$3:DA$105=AP124)*(DD$3:DD$105=AP126)*DC$3:DC$105)+SUMPRODUCT((DA$3:DA$105=AP124)*(DD$3:DD$105=AP122)*DC$3:DC$105)+SUMPRODUCT((DA$3:DA$105=AP124)*(DD$3:DD$105=AP123)*DC$3:DC$105)+SUMPRODUCT((DA$3:DA$105=AP125)*(DD$3:DD$105=AP124)*DB$3:DB$105)+SUMPRODUCT((DA$3:DA$105=AP126)*(DD$3:DD$105=AP124)*DB$3:DB$105)+SUMPRODUCT((DA$3:DA$105=AP122)*(DD$3:DD$105=AP124)*DB$3:DB$105)+SUMPRODUCT((DA$3:DA$105=AP123)*(DD$3:DD$105=AP124)*DB$3:DB$105)</f>
        <v>0</v>
      </c>
      <c r="AV124" s="231">
        <f>AT124-AU124+1000</f>
        <v>1000</v>
      </c>
      <c r="AW124" s="231" t="str">
        <f t="shared" si="208"/>
        <v/>
      </c>
      <c r="AX124" s="231" t="str">
        <f>IF(AP124&lt;&gt;"",VLOOKUP(AP124,C$4:I$52,7,FALSE),"")</f>
        <v/>
      </c>
      <c r="AY124" s="231" t="str">
        <f>IF(AP124&lt;&gt;"",VLOOKUP(AP124,C$4:I$52,5,FALSE),"")</f>
        <v/>
      </c>
      <c r="AZ124" s="231" t="str">
        <f>IF(AP124&lt;&gt;"",VLOOKUP(AP124,C$4:K$52,9,FALSE),"")</f>
        <v/>
      </c>
      <c r="BA124" s="231" t="str">
        <f t="shared" si="209"/>
        <v/>
      </c>
      <c r="BB124" s="231" t="str">
        <f t="shared" ref="BB124:BB125" si="210">IF(AP124&lt;&gt;"",RANK(BA124,BA$122:BA$125),"")</f>
        <v/>
      </c>
      <c r="BC124" s="231" t="str">
        <f t="shared" ref="BC124:BC125" si="211">IF(AP124&lt;&gt;"",SUMPRODUCT((BA$122:BA$125=BA124)*(AV$122:AV$125&gt;AV124)),"")</f>
        <v/>
      </c>
      <c r="BD124" s="231" t="str">
        <f t="shared" ref="BD124:BD125" si="212">IF(AP124&lt;&gt;"",SUMPRODUCT((BA$122:BA$125=BA124)*(AV$122:AV$125=AV124)*(AT$122:AT$125&gt;AT124)),"")</f>
        <v/>
      </c>
      <c r="BE124" s="231" t="str">
        <f t="shared" ref="BE124:BE125" si="213">IF(AP124&lt;&gt;"",SUMPRODUCT((BA$122:BA$125=BA124)*(AV$122:AV$125=AV124)*(AT$122:AT$125=AT124)*(AX$122:AX$125&gt;AX124)),"")</f>
        <v/>
      </c>
      <c r="BF124" s="231" t="str">
        <f t="shared" ref="BF124:BF125" si="214">IF(AP124&lt;&gt;"",SUMPRODUCT((BA$122:BA$125=BA124)*(AV$122:AV$125=AV124)*(AT$122:AT$125=AT124)*(AX$122:AX$125=AX124)*(AY$122:AY$125&gt;AY124)),"")</f>
        <v/>
      </c>
      <c r="BG124" s="231" t="str">
        <f t="shared" ref="BG124:BG125" si="215">IF(AP124&lt;&gt;"",SUMPRODUCT((BA$122:BA$125=BA124)*(AV$122:AV$125=AV124)*(AT$122:AT$125=AT124)*(AX$122:AX$125=AX124)*(AY$122:AY$125=AY124)*(AZ$122:AZ$125&gt;AZ124)),"")</f>
        <v/>
      </c>
      <c r="BH124" s="231" t="str">
        <f t="shared" ref="BH124:BH125" si="216">IF(AP124&lt;&gt;"",SUM(BB124:BG124)+1,"")</f>
        <v/>
      </c>
      <c r="DX124" s="230"/>
      <c r="DY124" s="230"/>
      <c r="DZ124" s="230"/>
      <c r="EA124" s="247"/>
      <c r="EB124" s="230"/>
      <c r="EC124" s="230"/>
    </row>
    <row r="125" spans="10:133" x14ac:dyDescent="0.25">
      <c r="J125" s="231">
        <f>IF(COUNTIF(J$43:J$46,4)=4,1,SUMPRODUCT((J$43:J$46=J46)*(I$43:I$46=I46)*(G$43:G$46&gt;G46))+1)</f>
        <v>1</v>
      </c>
      <c r="U125" s="231">
        <f>IF(V46&lt;&gt;"",SUMPRODUCT((AC$43:AC$46=AC46)*(AB$43:AB$46=AB46)*(Z$43:Z$46=Z46)*(AA$43:AA$46=AA46)),"")</f>
        <v>4</v>
      </c>
      <c r="V125" s="231" t="str">
        <f>IF(AND(U125&lt;&gt;"",U125&gt;1),V46,"")</f>
        <v>Belgium</v>
      </c>
      <c r="W125" s="231">
        <f>SUMPRODUCT((DA$3:DA$105=V125)*(DD$3:DD$105=V126)*(DE$3:DE$105="W"))+SUMPRODUCT((DA$3:DA$105=V125)*(DD$3:DD$105=V122)*(DE$3:DE$105="W"))+SUMPRODUCT((DA$3:DA$105=V125)*(DD$3:DD$105=V123)*(DE$3:DE$105="W"))+SUMPRODUCT((DA$3:DA$105=V125)*(DD$3:DD$105=V124)*(DE$3:DE$105="W"))+SUMPRODUCT((DA$3:DA$105=V126)*(DD$3:DD$105=V125)*(DF$3:DF$105="W"))+SUMPRODUCT((DA$3:DA$105=V122)*(DD$3:DD$105=V125)*(DF$3:DF$105="W"))+SUMPRODUCT((DA$3:DA$105=V123)*(DD$3:DD$105=V125)*(DF$3:DF$105="W"))+SUMPRODUCT((DA$3:DA$105=V124)*(DD$3:DD$105=V125)*(DF$3:DF$105="W"))</f>
        <v>0</v>
      </c>
      <c r="X125" s="231">
        <f>SUMPRODUCT((DA$3:DA$105=V125)*(DD$3:DD$105=V126)*(DE$3:DE$105="D"))+SUMPRODUCT((DA$3:DA$105=V125)*(DD$3:DD$105=V122)*(DE$3:DE$105="D"))+SUMPRODUCT((DA$3:DA$105=V125)*(DD$3:DD$105=V123)*(DE$3:DE$105="D"))+SUMPRODUCT((DA$3:DA$105=V125)*(DD$3:DD$105=V124)*(DE$3:DE$105="D"))+SUMPRODUCT((DA$3:DA$105=V126)*(DD$3:DD$105=V125)*(DE$3:DE$105="D"))+SUMPRODUCT((DA$3:DA$105=V122)*(DD$3:DD$105=V125)*(DE$3:DE$105="D"))+SUMPRODUCT((DA$3:DA$105=V123)*(DD$3:DD$105=V125)*(DE$3:DE$105="D"))+SUMPRODUCT((DA$3:DA$105=V124)*(DD$3:DD$105=V125)*(DE$3:DE$105="D"))</f>
        <v>0</v>
      </c>
      <c r="Y125" s="231">
        <f>SUMPRODUCT((DA$3:DA$105=V125)*(DD$3:DD$105=V126)*(DE$3:DE$105="L"))+SUMPRODUCT((DA$3:DA$105=V125)*(DD$3:DD$105=V122)*(DE$3:DE$105="L"))+SUMPRODUCT((DA$3:DA$105=V125)*(DD$3:DD$105=V123)*(DE$3:DE$105="L"))+SUMPRODUCT((DA$3:DA$105=V125)*(DD$3:DD$105=V124)*(DE$3:DE$105="L"))+SUMPRODUCT((DA$3:DA$105=V126)*(DD$3:DD$105=V125)*(DF$3:DF$105="L"))+SUMPRODUCT((DA$3:DA$105=V122)*(DD$3:DD$105=V125)*(DF$3:DF$105="L"))+SUMPRODUCT((DA$3:DA$105=V123)*(DD$3:DD$105=V125)*(DF$3:DF$105="L"))+SUMPRODUCT((DA$3:DA$105=V124)*(DD$3:DD$105=V125)*(DF$3:DF$105="L"))</f>
        <v>0</v>
      </c>
      <c r="Z125" s="231">
        <f>SUMPRODUCT((DA$3:DA$105=V125)*(DD$3:DD$105=V126)*DB$3:DB$105)+SUMPRODUCT((DA$3:DA$105=V125)*(DD$3:DD$105=V122)*DB$3:DB$105)+SUMPRODUCT((DA$3:DA$105=V125)*(DD$3:DD$105=V123)*DB$3:DB$105)+SUMPRODUCT((DA$3:DA$105=V125)*(DD$3:DD$105=V124)*DB$3:DB$105)+SUMPRODUCT((DA$3:DA$105=V126)*(DD$3:DD$105=V125)*DC$3:DC$105)+SUMPRODUCT((DA$3:DA$105=V122)*(DD$3:DD$105=V125)*DC$3:DC$105)+SUMPRODUCT((DA$3:DA$105=V123)*(DD$3:DD$105=V125)*DC$3:DC$105)+SUMPRODUCT((DA$3:DA$105=V124)*(DD$3:DD$105=V125)*DC$3:DC$105)</f>
        <v>0</v>
      </c>
      <c r="AA125" s="231">
        <f>SUMPRODUCT((DA$3:DA$105=V125)*(DD$3:DD$105=V126)*DC$3:DC$105)+SUMPRODUCT((DA$3:DA$105=V125)*(DD$3:DD$105=V122)*DC$3:DC$105)+SUMPRODUCT((DA$3:DA$105=V125)*(DD$3:DD$105=V123)*DC$3:DC$105)+SUMPRODUCT((DA$3:DA$105=V125)*(DD$3:DD$105=V124)*DC$3:DC$105)+SUMPRODUCT((DA$3:DA$105=V126)*(DD$3:DD$105=V125)*DB$3:DB$105)+SUMPRODUCT((DA$3:DA$105=V122)*(DD$3:DD$105=V125)*DB$3:DB$105)+SUMPRODUCT((DA$3:DA$105=V123)*(DD$3:DD$105=V125)*DB$3:DB$105)+SUMPRODUCT((DA$3:DA$105=V124)*(DD$3:DD$105=V125)*DB$3:DB$105)</f>
        <v>0</v>
      </c>
      <c r="AB125" s="231">
        <f>Z125-AA125+1000</f>
        <v>1000</v>
      </c>
      <c r="AC125" s="231">
        <f t="shared" si="199"/>
        <v>0</v>
      </c>
      <c r="AD125" s="231">
        <f>IF(V125&lt;&gt;"",VLOOKUP(V125,C$4:I$52,7,FALSE),"")</f>
        <v>1000</v>
      </c>
      <c r="AE125" s="231">
        <f>IF(V125&lt;&gt;"",VLOOKUP(V125,C$4:I$52,5,FALSE),"")</f>
        <v>0</v>
      </c>
      <c r="AF125" s="231">
        <f>IF(V125&lt;&gt;"",VLOOKUP(V125,C$4:K$52,9,FALSE),"")</f>
        <v>-109</v>
      </c>
      <c r="AG125" s="231">
        <f t="shared" si="200"/>
        <v>0</v>
      </c>
      <c r="AH125" s="231">
        <f t="shared" si="201"/>
        <v>1</v>
      </c>
      <c r="AI125" s="231">
        <f t="shared" si="202"/>
        <v>0</v>
      </c>
      <c r="AJ125" s="231">
        <f t="shared" si="203"/>
        <v>0</v>
      </c>
      <c r="AK125" s="231">
        <f t="shared" si="204"/>
        <v>0</v>
      </c>
      <c r="AL125" s="231">
        <f t="shared" si="205"/>
        <v>0</v>
      </c>
      <c r="AM125" s="231">
        <f t="shared" si="206"/>
        <v>0</v>
      </c>
      <c r="AN125" s="231">
        <f t="shared" si="207"/>
        <v>1</v>
      </c>
      <c r="AO125" s="231" t="str">
        <f>IF(AP46&lt;&gt;"",SUMPRODUCT((AW$43:AW$46=AW46)*(AV$43:AV$46=AV46)*(AT$43:AT$46=AT46)*(AU$43:AU$46=AU46)),"")</f>
        <v/>
      </c>
      <c r="AP125" s="231" t="str">
        <f>IF(AND(AO125&lt;&gt;"",AO125&gt;1),AP46,"")</f>
        <v/>
      </c>
      <c r="AQ125" s="231" t="str">
        <f>IF(AP125&lt;&gt;"",SUMPRODUCT((DA$3:DA$105=AP125)*(DD$3:DD$105=AP126)*(DE$3:DE$105="W"))+SUMPRODUCT((DA$3:DA$105=AP125)*(DD$3:DD$105=AP123)*(DE$3:DE$105="W"))+SUMPRODUCT((DA$3:DA$105=AP125)*(DD$3:DD$105=AP124)*(DE$3:DE$105="W"))+SUMPRODUCT((DA$3:DA$105=AP126)*(DD$3:DD$105=AP125)*(DF$3:DF$105="W"))+SUMPRODUCT((DA$3:DA$105=AP123)*(DD$3:DD$105=AP125)*(DF$3:DF$105="W"))+SUMPRODUCT((DA$3:DA$105=AP124)*(DD$3:DD$105=AP125)*(DF$3:DF$105="W")),"")</f>
        <v/>
      </c>
      <c r="AR125" s="231" t="str">
        <f>IF(AP125&lt;&gt;"",SUMPRODUCT((DA$3:DA$105=AP125)*(DD$3:DD$105=AP126)*(DE$3:DE$105="D"))+SUMPRODUCT((DA$3:DA$105=AP125)*(DD$3:DD$105=AP123)*(DE$3:DE$105="D"))+SUMPRODUCT((DA$3:DA$105=AP125)*(DD$3:DD$105=AP124)*(DE$3:DE$105="D"))+SUMPRODUCT((DA$3:DA$105=AP126)*(DD$3:DD$105=AP125)*(DE$3:DE$105="D"))+SUMPRODUCT((DA$3:DA$105=AP123)*(DD$3:DD$105=AP125)*(DE$3:DE$105="D"))+SUMPRODUCT((DA$3:DA$105=AP124)*(DD$3:DD$105=AP125)*(DE$3:DE$105="D")),"")</f>
        <v/>
      </c>
      <c r="AS125" s="231" t="str">
        <f>IF(AP125&lt;&gt;"",SUMPRODUCT((DA$3:DA$105=AP125)*(DD$3:DD$105=AP126)*(DE$3:DE$105="L"))+SUMPRODUCT((DA$3:DA$105=AP125)*(DD$3:DD$105=AP123)*(DE$3:DE$105="L"))+SUMPRODUCT((DA$3:DA$105=AP125)*(DD$3:DD$105=AP124)*(DE$3:DE$105="L"))+SUMPRODUCT((DA$3:DA$105=AP126)*(DD$3:DD$105=AP125)*(DF$3:DF$105="L"))+SUMPRODUCT((DA$3:DA$105=AP123)*(DD$3:DD$105=AP125)*(DF$3:DF$105="L"))+SUMPRODUCT((DA$3:DA$105=AP124)*(DD$3:DD$105=AP125)*(DF$3:DF$105="L")),"")</f>
        <v/>
      </c>
      <c r="AT125" s="231">
        <f>SUMPRODUCT((DA$3:DA$105=AP125)*(DD$3:DD$105=AP126)*DB$3:DB$105)+SUMPRODUCT((DA$3:DA$105=AP125)*(DD$3:DD$105=AP122)*DB$3:DB$105)+SUMPRODUCT((DA$3:DA$105=AP125)*(DD$3:DD$105=AP123)*DB$3:DB$105)+SUMPRODUCT((DA$3:DA$105=AP125)*(DD$3:DD$105=AP124)*DB$3:DB$105)+SUMPRODUCT((DA$3:DA$105=AP126)*(DD$3:DD$105=AP125)*DC$3:DC$105)+SUMPRODUCT((DA$3:DA$105=AP122)*(DD$3:DD$105=AP125)*DC$3:DC$105)+SUMPRODUCT((DA$3:DA$105=AP123)*(DD$3:DD$105=AP125)*DC$3:DC$105)+SUMPRODUCT((DA$3:DA$105=AP124)*(DD$3:DD$105=AP125)*DC$3:DC$105)</f>
        <v>0</v>
      </c>
      <c r="AU125" s="231">
        <f>SUMPRODUCT((DA$3:DA$105=AP125)*(DD$3:DD$105=AP126)*DC$3:DC$105)+SUMPRODUCT((DA$3:DA$105=AP125)*(DD$3:DD$105=AP122)*DC$3:DC$105)+SUMPRODUCT((DA$3:DA$105=AP125)*(DD$3:DD$105=AP123)*DC$3:DC$105)+SUMPRODUCT((DA$3:DA$105=AP125)*(DD$3:DD$105=AP124)*DC$3:DC$105)+SUMPRODUCT((DA$3:DA$105=AP126)*(DD$3:DD$105=AP125)*DB$3:DB$105)+SUMPRODUCT((DA$3:DA$105=AP122)*(DD$3:DD$105=AP125)*DB$3:DB$105)+SUMPRODUCT((DA$3:DA$105=AP123)*(DD$3:DD$105=AP125)*DB$3:DB$105)+SUMPRODUCT((DA$3:DA$105=AP124)*(DD$3:DD$105=AP125)*DB$3:DB$105)</f>
        <v>0</v>
      </c>
      <c r="AV125" s="231">
        <f>AT125-AU125+1000</f>
        <v>1000</v>
      </c>
      <c r="AW125" s="231" t="str">
        <f t="shared" si="208"/>
        <v/>
      </c>
      <c r="AX125" s="231" t="str">
        <f>IF(AP125&lt;&gt;"",VLOOKUP(AP125,C$4:I$52,7,FALSE),"")</f>
        <v/>
      </c>
      <c r="AY125" s="231" t="str">
        <f>IF(AP125&lt;&gt;"",VLOOKUP(AP125,C$4:I$52,5,FALSE),"")</f>
        <v/>
      </c>
      <c r="AZ125" s="231" t="str">
        <f>IF(AP125&lt;&gt;"",VLOOKUP(AP125,C$4:K$52,9,FALSE),"")</f>
        <v/>
      </c>
      <c r="BA125" s="231" t="str">
        <f t="shared" si="209"/>
        <v/>
      </c>
      <c r="BB125" s="231" t="str">
        <f t="shared" si="210"/>
        <v/>
      </c>
      <c r="BC125" s="231" t="str">
        <f t="shared" si="211"/>
        <v/>
      </c>
      <c r="BD125" s="231" t="str">
        <f t="shared" si="212"/>
        <v/>
      </c>
      <c r="BE125" s="231" t="str">
        <f t="shared" si="213"/>
        <v/>
      </c>
      <c r="BF125" s="231" t="str">
        <f t="shared" si="214"/>
        <v/>
      </c>
      <c r="BG125" s="231" t="str">
        <f t="shared" si="215"/>
        <v/>
      </c>
      <c r="BH125" s="231" t="str">
        <f t="shared" si="216"/>
        <v/>
      </c>
      <c r="DX125" s="230"/>
      <c r="DY125" s="230"/>
      <c r="DZ125" s="230"/>
      <c r="EA125" s="247"/>
      <c r="EB125" s="230"/>
      <c r="EC125" s="230"/>
    </row>
    <row r="126" spans="10:133" x14ac:dyDescent="0.25">
      <c r="DX126" s="230"/>
      <c r="DY126" s="230"/>
      <c r="DZ126" s="230"/>
      <c r="EA126" s="247"/>
      <c r="EB126" s="230"/>
      <c r="EC126" s="230"/>
    </row>
    <row r="127" spans="10:133" x14ac:dyDescent="0.25">
      <c r="U127" s="231">
        <f>IF(V128="",SUM(AH49:AM49),IF(V129="",SUM(AH50:AM50),IF(V130="",SUM(AH51:AM51),IF(V131="",SUM(AH52:AM52),0))))</f>
        <v>0</v>
      </c>
      <c r="AO127" s="231">
        <f>IF(AP129="",SUM(BB50:BG50),IF(AP130="",SUM(BB51:BG51),IF(AP131="",SUM(BB52:BG52),0)))</f>
        <v>0</v>
      </c>
      <c r="DX127" s="230"/>
      <c r="DY127" s="230"/>
      <c r="DZ127" s="230"/>
      <c r="EA127" s="247"/>
      <c r="EB127" s="230"/>
      <c r="EC127" s="230"/>
    </row>
    <row r="128" spans="10:133" x14ac:dyDescent="0.25">
      <c r="J128" s="231">
        <f>IF(COUNTIF(J$49:J$52,4)=4,1,SUMPRODUCT((J$49:J$52=J49)*(I$49:I$52=I49)*(G$49:G$52&gt;G49))+1)</f>
        <v>1</v>
      </c>
      <c r="U128" s="231">
        <f>IF(V49&lt;&gt;"",SUMPRODUCT((AC$49:AC$52=AC49)*(AB$49:AB$52=AB49)*(Z$49:Z$52=Z49)*(AA$49:AA$52=AA49)),"")</f>
        <v>4</v>
      </c>
      <c r="V128" s="231" t="str">
        <f>IF(AND(U128&lt;&gt;"",U128&gt;1),V49,"")</f>
        <v>Cabo Verde</v>
      </c>
      <c r="W128" s="231">
        <f>SUMPRODUCT((DA$3:DA$105=V128)*(DD$3:DD$105=V129)*(DE$3:DE$105="W"))+SUMPRODUCT((DA$3:DA$105=V128)*(DD$3:DD$105=V130)*(DE$3:DE$105="W"))+SUMPRODUCT((DA$3:DA$105=V128)*(DD$3:DD$105=V131)*(DE$3:DE$105="W"))+SUMPRODUCT((DA$3:DA$105=V128)*(DD$3:DD$105=V132)*(DE$3:DE$105="W"))+SUMPRODUCT((DA$3:DA$105=V129)*(DD$3:DD$105=V128)*(DF$3:DF$105="W"))+SUMPRODUCT((DA$3:DA$105=V130)*(DD$3:DD$105=V128)*(DF$3:DF$105="W"))+SUMPRODUCT((DA$3:DA$105=V131)*(DD$3:DD$105=V128)*(DF$3:DF$105="W"))+SUMPRODUCT((DA$3:DA$105=V132)*(DD$3:DD$105=V128)*(DF$3:DF$105="W"))</f>
        <v>0</v>
      </c>
      <c r="X128" s="231">
        <f>SUMPRODUCT((DA$3:DA$105=V128)*(DD$3:DD$105=V129)*(DE$3:DE$105="D"))+SUMPRODUCT((DA$3:DA$105=V128)*(DD$3:DD$105=V130)*(DE$3:DE$105="D"))+SUMPRODUCT((DA$3:DA$105=V128)*(DD$3:DD$105=V131)*(DE$3:DE$105="D"))+SUMPRODUCT((DA$3:DA$105=V128)*(DD$3:DD$105=V132)*(DE$3:DE$105="D"))+SUMPRODUCT((DA$3:DA$105=V129)*(DD$3:DD$105=V128)*(DE$3:DE$105="D"))+SUMPRODUCT((DA$3:DA$105=V130)*(DD$3:DD$105=V128)*(DE$3:DE$105="D"))+SUMPRODUCT((DA$3:DA$105=V131)*(DD$3:DD$105=V128)*(DE$3:DE$105="D"))+SUMPRODUCT((DA$3:DA$105=V132)*(DD$3:DD$105=V128)*(DE$3:DE$105="D"))</f>
        <v>0</v>
      </c>
      <c r="Y128" s="231">
        <f>SUMPRODUCT((DA$3:DA$105=V128)*(DD$3:DD$105=V129)*(DE$3:DE$105="L"))+SUMPRODUCT((DA$3:DA$105=V128)*(DD$3:DD$105=V130)*(DE$3:DE$105="L"))+SUMPRODUCT((DA$3:DA$105=V128)*(DD$3:DD$105=V131)*(DE$3:DE$105="L"))+SUMPRODUCT((DA$3:DA$105=V128)*(DD$3:DD$105=V132)*(DE$3:DE$105="L"))+SUMPRODUCT((DA$3:DA$105=V129)*(DD$3:DD$105=V128)*(DF$3:DF$105="L"))+SUMPRODUCT((DA$3:DA$105=V130)*(DD$3:DD$105=V128)*(DF$3:DF$105="L"))+SUMPRODUCT((DA$3:DA$105=V131)*(DD$3:DD$105=V128)*(DF$3:DF$105="L"))+SUMPRODUCT((DA$3:DA$105=V132)*(DD$3:DD$105=V128)*(DF$3:DF$105="L"))</f>
        <v>0</v>
      </c>
      <c r="Z128" s="231">
        <f>SUMPRODUCT((DA$3:DA$105=V128)*(DD$3:DD$105=V129)*DB$3:DB$105)+SUMPRODUCT((DA$3:DA$105=V128)*(DD$3:DD$105=V130)*DB$3:DB$105)+SUMPRODUCT((DA$3:DA$105=V128)*(DD$3:DD$105=V131)*DB$3:DB$105)+SUMPRODUCT((DA$3:DA$105=V128)*(DD$3:DD$105=V132)*DB$3:DB$105)+SUMPRODUCT((DA$3:DA$105=V129)*(DD$3:DD$105=V128)*DC$3:DC$105)+SUMPRODUCT((DA$3:DA$105=V130)*(DD$3:DD$105=V128)*DC$3:DC$105)+SUMPRODUCT((DA$3:DA$105=V131)*(DD$3:DD$105=V128)*DC$3:DC$105)+SUMPRODUCT((DA$3:DA$105=V132)*(DD$3:DD$105=V128)*DC$3:DC$105)</f>
        <v>0</v>
      </c>
      <c r="AA128" s="231">
        <f>SUMPRODUCT((DA$3:DA$105=V128)*(DD$3:DD$105=V129)*DC$3:DC$105)+SUMPRODUCT((DA$3:DA$105=V128)*(DD$3:DD$105=V130)*DC$3:DC$105)+SUMPRODUCT((DA$3:DA$105=V128)*(DD$3:DD$105=V131)*DC$3:DC$105)+SUMPRODUCT((DA$3:DA$105=V128)*(DD$3:DD$105=V132)*DC$3:DC$105)+SUMPRODUCT((DA$3:DA$105=V129)*(DD$3:DD$105=V128)*DB$3:DB$105)+SUMPRODUCT((DA$3:DA$105=V130)*(DD$3:DD$105=V128)*DB$3:DB$105)+SUMPRODUCT((DA$3:DA$105=V131)*(DD$3:DD$105=V128)*DB$3:DB$105)+SUMPRODUCT((DA$3:DA$105=V132)*(DD$3:DD$105=V128)*DB$3:DB$105)</f>
        <v>0</v>
      </c>
      <c r="AB128" s="231">
        <f>Z128-AA128+1000</f>
        <v>1000</v>
      </c>
      <c r="AC128" s="231">
        <f>IF(V128&lt;&gt;"",W128*3+X128*1,"")</f>
        <v>0</v>
      </c>
      <c r="AD128" s="231">
        <f>IF(V128&lt;&gt;"",VLOOKUP(V128,C$4:I$52,7,FALSE),"")</f>
        <v>1000</v>
      </c>
      <c r="AE128" s="231">
        <f>IF(V128&lt;&gt;"",VLOOKUP(V128,C$4:I$52,5,FALSE),"")</f>
        <v>0</v>
      </c>
      <c r="AF128" s="231">
        <f>IF(V128&lt;&gt;"",VLOOKUP(V128,C$4:K$52,9,FALSE),"")</f>
        <v>-167</v>
      </c>
      <c r="AG128" s="231">
        <f>AC128</f>
        <v>0</v>
      </c>
      <c r="AH128" s="231">
        <f>IF(V128&lt;&gt;"",RANK(AG128,AG$128:AG$131),"")</f>
        <v>1</v>
      </c>
      <c r="AI128" s="231">
        <f>IF(V128&lt;&gt;"",SUMPRODUCT((AG$128:AG$131=AG128)*(AB$128:AB$131&gt;AB128)),"")</f>
        <v>0</v>
      </c>
      <c r="AJ128" s="231">
        <f>IF(V128&lt;&gt;"",SUMPRODUCT((AG$128:AG$131=AG128)*(AB$128:AB$131=AB128)*(Z$128:Z$131&gt;Z128)),"")</f>
        <v>0</v>
      </c>
      <c r="AK128" s="231">
        <f>IF(V128&lt;&gt;"",SUMPRODUCT((AG$128:AG$131=AG128)*(AB$128:AB$131=AB128)*(Z$128:Z$131=Z128)*(AD$128:AD$131&gt;AD128)),"")</f>
        <v>0</v>
      </c>
      <c r="AL128" s="231">
        <f>IF(V128&lt;&gt;"",SUMPRODUCT((AG$128:AG$131=AG128)*(AB$128:AB$131=AB128)*(Z$128:Z$131=Z128)*(AD$128:AD$131=AD128)*(AE$128:AE$131&gt;AE128)),"")</f>
        <v>0</v>
      </c>
      <c r="AM128" s="231">
        <f>IF(V128&lt;&gt;"",SUMPRODUCT((AG$128:AG$131=AG128)*(AB$128:AB$131=AB128)*(Z$128:Z$131=Z128)*(AD$128:AD$131=AD128)*(AE$128:AE$131=AE128)*(AF$128:AF$131&gt;AF128)),"")</f>
        <v>3</v>
      </c>
      <c r="AN128" s="231">
        <f>IF(V128&lt;&gt;"",SUM(AH128:AM128),"")</f>
        <v>4</v>
      </c>
      <c r="DX128" s="230"/>
      <c r="DY128" s="230"/>
      <c r="DZ128" s="230"/>
      <c r="EA128" s="247"/>
      <c r="EB128" s="230"/>
      <c r="EC128" s="230"/>
    </row>
    <row r="129" spans="10:133" x14ac:dyDescent="0.25">
      <c r="J129" s="231">
        <f>IF(COUNTIF(J$49:J$52,4)=4,1,SUMPRODUCT((J$49:J$52=J50)*(I$49:I$52=I50)*(G$49:G$52&gt;G50))+1)</f>
        <v>1</v>
      </c>
      <c r="U129" s="231">
        <f>IF(V50&lt;&gt;"",SUMPRODUCT((AC$49:AC$52=AC50)*(AB$49:AB$52=AB50)*(Z$49:Z$52=Z50)*(AA$49:AA$52=AA50)),"")</f>
        <v>4</v>
      </c>
      <c r="V129" s="231" t="str">
        <f>IF(AND(U129&lt;&gt;"",U129&gt;1),V50,"")</f>
        <v>Saudi Arabia</v>
      </c>
      <c r="W129" s="231">
        <f>SUMPRODUCT((DA$3:DA$105=V129)*(DD$3:DD$105=V130)*(DE$3:DE$105="W"))+SUMPRODUCT((DA$3:DA$105=V129)*(DD$3:DD$105=V131)*(DE$3:DE$105="W"))+SUMPRODUCT((DA$3:DA$105=V129)*(DD$3:DD$105=V132)*(DE$3:DE$105="W"))+SUMPRODUCT((DA$3:DA$105=V129)*(DD$3:DD$105=V128)*(DE$3:DE$105="W"))+SUMPRODUCT((DA$3:DA$105=V130)*(DD$3:DD$105=V129)*(DF$3:DF$105="W"))+SUMPRODUCT((DA$3:DA$105=V131)*(DD$3:DD$105=V129)*(DF$3:DF$105="W"))+SUMPRODUCT((DA$3:DA$105=V132)*(DD$3:DD$105=V129)*(DF$3:DF$105="W"))+SUMPRODUCT((DA$3:DA$105=V128)*(DD$3:DD$105=V129)*(DF$3:DF$105="W"))</f>
        <v>0</v>
      </c>
      <c r="X129" s="231">
        <f>SUMPRODUCT((DA$3:DA$105=V129)*(DD$3:DD$105=V130)*(DE$3:DE$105="D"))+SUMPRODUCT((DA$3:DA$105=V129)*(DD$3:DD$105=V131)*(DE$3:DE$105="D"))+SUMPRODUCT((DA$3:DA$105=V129)*(DD$3:DD$105=V132)*(DE$3:DE$105="D"))+SUMPRODUCT((DA$3:DA$105=V129)*(DD$3:DD$105=V128)*(DE$3:DE$105="D"))+SUMPRODUCT((DA$3:DA$105=V130)*(DD$3:DD$105=V129)*(DE$3:DE$105="D"))+SUMPRODUCT((DA$3:DA$105=V131)*(DD$3:DD$105=V129)*(DE$3:DE$105="D"))+SUMPRODUCT((DA$3:DA$105=V132)*(DD$3:DD$105=V129)*(DE$3:DE$105="D"))+SUMPRODUCT((DA$3:DA$105=V128)*(DD$3:DD$105=V129)*(DE$3:DE$105="D"))</f>
        <v>0</v>
      </c>
      <c r="Y129" s="231">
        <f>SUMPRODUCT((DA$3:DA$105=V129)*(DD$3:DD$105=V130)*(DE$3:DE$105="L"))+SUMPRODUCT((DA$3:DA$105=V129)*(DD$3:DD$105=V131)*(DE$3:DE$105="L"))+SUMPRODUCT((DA$3:DA$105=V129)*(DD$3:DD$105=V132)*(DE$3:DE$105="L"))+SUMPRODUCT((DA$3:DA$105=V129)*(DD$3:DD$105=V128)*(DE$3:DE$105="L"))+SUMPRODUCT((DA$3:DA$105=V130)*(DD$3:DD$105=V129)*(DF$3:DF$105="L"))+SUMPRODUCT((DA$3:DA$105=V131)*(DD$3:DD$105=V129)*(DF$3:DF$105="L"))+SUMPRODUCT((DA$3:DA$105=V132)*(DD$3:DD$105=V129)*(DF$3:DF$105="L"))+SUMPRODUCT((DA$3:DA$105=V128)*(DD$3:DD$105=V129)*(DF$3:DF$105="L"))</f>
        <v>0</v>
      </c>
      <c r="Z129" s="231">
        <f>SUMPRODUCT((DA$3:DA$105=V129)*(DD$3:DD$105=V130)*DB$3:DB$105)+SUMPRODUCT((DA$3:DA$105=V129)*(DD$3:DD$105=V131)*DB$3:DB$105)+SUMPRODUCT((DA$3:DA$105=V129)*(DD$3:DD$105=V132)*DB$3:DB$105)+SUMPRODUCT((DA$3:DA$105=V129)*(DD$3:DD$105=V128)*DB$3:DB$105)+SUMPRODUCT((DA$3:DA$105=V130)*(DD$3:DD$105=V129)*DC$3:DC$105)+SUMPRODUCT((DA$3:DA$105=V131)*(DD$3:DD$105=V129)*DC$3:DC$105)+SUMPRODUCT((DA$3:DA$105=V132)*(DD$3:DD$105=V129)*DC$3:DC$105)+SUMPRODUCT((DA$3:DA$105=V128)*(DD$3:DD$105=V129)*DC$3:DC$105)</f>
        <v>0</v>
      </c>
      <c r="AA129" s="231">
        <f>SUMPRODUCT((DA$3:DA$105=V129)*(DD$3:DD$105=V130)*DC$3:DC$105)+SUMPRODUCT((DA$3:DA$105=V129)*(DD$3:DD$105=V131)*DC$3:DC$105)+SUMPRODUCT((DA$3:DA$105=V129)*(DD$3:DD$105=V132)*DC$3:DC$105)+SUMPRODUCT((DA$3:DA$105=V129)*(DD$3:DD$105=V128)*DC$3:DC$105)+SUMPRODUCT((DA$3:DA$105=V130)*(DD$3:DD$105=V129)*DB$3:DB$105)+SUMPRODUCT((DA$3:DA$105=V131)*(DD$3:DD$105=V129)*DB$3:DB$105)+SUMPRODUCT((DA$3:DA$105=V132)*(DD$3:DD$105=V129)*DB$3:DB$105)+SUMPRODUCT((DA$3:DA$105=V128)*(DD$3:DD$105=V129)*DB$3:DB$105)</f>
        <v>0</v>
      </c>
      <c r="AB129" s="231">
        <f>Z129-AA129+1000</f>
        <v>1000</v>
      </c>
      <c r="AC129" s="231">
        <f t="shared" ref="AC129:AC131" si="217">IF(V129&lt;&gt;"",W129*3+X129*1,"")</f>
        <v>0</v>
      </c>
      <c r="AD129" s="231">
        <f>IF(V129&lt;&gt;"",VLOOKUP(V129,C$4:I$52,7,FALSE),"")</f>
        <v>1000</v>
      </c>
      <c r="AE129" s="231">
        <f>IF(V129&lt;&gt;"",VLOOKUP(V129,C$4:I$52,5,FALSE),"")</f>
        <v>0</v>
      </c>
      <c r="AF129" s="231">
        <f>IF(V129&lt;&gt;"",VLOOKUP(V129,C$4:K$52,9,FALSE),"")</f>
        <v>-161</v>
      </c>
      <c r="AG129" s="231">
        <f t="shared" ref="AG129:AG131" si="218">AC129</f>
        <v>0</v>
      </c>
      <c r="AH129" s="231">
        <f t="shared" ref="AH129:AH131" si="219">IF(V129&lt;&gt;"",RANK(AG129,AG$128:AG$131),"")</f>
        <v>1</v>
      </c>
      <c r="AI129" s="231">
        <f t="shared" ref="AI129:AI131" si="220">IF(V129&lt;&gt;"",SUMPRODUCT((AG$128:AG$131=AG129)*(AB$128:AB$131&gt;AB129)),"")</f>
        <v>0</v>
      </c>
      <c r="AJ129" s="231">
        <f t="shared" ref="AJ129:AJ131" si="221">IF(V129&lt;&gt;"",SUMPRODUCT((AG$128:AG$131=AG129)*(AB$128:AB$131=AB129)*(Z$128:Z$131&gt;Z129)),"")</f>
        <v>0</v>
      </c>
      <c r="AK129" s="231">
        <f t="shared" ref="AK129:AK131" si="222">IF(V129&lt;&gt;"",SUMPRODUCT((AG$128:AG$131=AG129)*(AB$128:AB$131=AB129)*(Z$128:Z$131=Z129)*(AD$128:AD$131&gt;AD129)),"")</f>
        <v>0</v>
      </c>
      <c r="AL129" s="231">
        <f t="shared" ref="AL129:AL131" si="223">IF(V129&lt;&gt;"",SUMPRODUCT((AG$128:AG$131=AG129)*(AB$128:AB$131=AB129)*(Z$128:Z$131=Z129)*(AD$128:AD$131=AD129)*(AE$128:AE$131&gt;AE129)),"")</f>
        <v>0</v>
      </c>
      <c r="AM129" s="231">
        <f t="shared" ref="AM129:AM131" si="224">IF(V129&lt;&gt;"",SUMPRODUCT((AG$128:AG$131=AG129)*(AB$128:AB$131=AB129)*(Z$128:Z$131=Z129)*(AD$128:AD$131=AD129)*(AE$128:AE$131=AE129)*(AF$128:AF$131&gt;AF129)),"")</f>
        <v>2</v>
      </c>
      <c r="AN129" s="231">
        <f t="shared" ref="AN129:AN131" si="225">IF(V129&lt;&gt;"",SUM(AH129:AM129),"")</f>
        <v>3</v>
      </c>
      <c r="AO129" s="231" t="str">
        <f>IF(AP50&lt;&gt;"",SUMPRODUCT((AW$49:AW$52=AW50)*(AV$49:AV$52=AV50)*(AT$49:AT$52=AT50)*(AU$49:AU$52=AU50)),"")</f>
        <v/>
      </c>
      <c r="AP129" s="231" t="str">
        <f>IF(AND(AO129&lt;&gt;"",AO129&gt;1),AP50,"")</f>
        <v/>
      </c>
      <c r="AQ129" s="231">
        <f>SUMPRODUCT((DA$3:DA$105=AP129)*(DD$3:DD$105=AP130)*(DE$3:DE$105="W"))+SUMPRODUCT((DA$3:DA$105=AP129)*(DD$3:DD$105=AP131)*(DE$3:DE$105="W"))+SUMPRODUCT((DA$3:DA$105=AP129)*(DD$3:DD$105=AP132)*(DE$3:DE$105="W"))+SUMPRODUCT((DA$3:DA$105=AP130)*(DD$3:DD$105=AP129)*(DF$3:DF$105="W"))+SUMPRODUCT((DA$3:DA$105=AP131)*(DD$3:DD$105=AP129)*(DF$3:DF$105="W"))+SUMPRODUCT((DA$3:DA$105=AP132)*(DD$3:DD$105=AP129)*(DF$3:DF$105="W"))</f>
        <v>0</v>
      </c>
      <c r="AR129" s="231">
        <f>SUMPRODUCT((DA$3:DA$105=AP129)*(DD$3:DD$105=AP130)*(DE$3:DE$105="D"))+SUMPRODUCT((DA$3:DA$105=AP129)*(DD$3:DD$105=AP131)*(DE$3:DE$105="D"))+SUMPRODUCT((DA$3:DA$105=AP129)*(DD$3:DD$105=AP132)*(DE$3:DE$105="D"))+SUMPRODUCT((DA$3:DA$105=AP130)*(DD$3:DD$105=AP129)*(DE$3:DE$105="D"))+SUMPRODUCT((DA$3:DA$105=AP131)*(DD$3:DD$105=AP129)*(DE$3:DE$105="D"))+SUMPRODUCT((DA$3:DA$105=AP132)*(DD$3:DD$105=AP129)*(DE$3:DE$105="D"))</f>
        <v>0</v>
      </c>
      <c r="AS129" s="231">
        <f>SUMPRODUCT((DA$3:DA$105=AP129)*(DD$3:DD$105=AP130)*(DE$3:DE$105="L"))+SUMPRODUCT((DA$3:DA$105=AP129)*(DD$3:DD$105=AP131)*(DE$3:DE$105="L"))+SUMPRODUCT((DA$3:DA$105=AP129)*(DD$3:DD$105=AP132)*(DE$3:DE$105="L"))+SUMPRODUCT((DA$3:DA$105=AP130)*(DD$3:DD$105=AP129)*(DF$3:DF$105="L"))+SUMPRODUCT((DA$3:DA$105=AP131)*(DD$3:DD$105=AP129)*(DF$3:DF$105="L"))+SUMPRODUCT((DA$3:DA$105=AP132)*(DD$3:DD$105=AP129)*(DF$3:DF$105="L"))</f>
        <v>0</v>
      </c>
      <c r="AT129" s="231">
        <f>SUMPRODUCT((DA$3:DA$105=AP129)*(DD$3:DD$105=AP130)*DB$3:DB$105)+SUMPRODUCT((DA$3:DA$105=AP129)*(DD$3:DD$105=AP131)*DB$3:DB$105)+SUMPRODUCT((DA$3:DA$105=AP129)*(DD$3:DD$105=AP132)*DB$3:DB$105)+SUMPRODUCT((DA$3:DA$105=AP129)*(DD$3:DD$105=AP128)*DB$3:DB$105)+SUMPRODUCT((DA$3:DA$105=AP130)*(DD$3:DD$105=AP129)*DC$3:DC$105)+SUMPRODUCT((DA$3:DA$105=AP131)*(DD$3:DD$105=AP129)*DC$3:DC$105)+SUMPRODUCT((DA$3:DA$105=AP132)*(DD$3:DD$105=AP129)*DC$3:DC$105)+SUMPRODUCT((DA$3:DA$105=AP128)*(DD$3:DD$105=AP129)*DC$3:DC$105)</f>
        <v>0</v>
      </c>
      <c r="AU129" s="231">
        <f>SUMPRODUCT((DA$3:DA$105=AP129)*(DD$3:DD$105=AP130)*DC$3:DC$105)+SUMPRODUCT((DA$3:DA$105=AP129)*(DD$3:DD$105=AP131)*DC$3:DC$105)+SUMPRODUCT((DA$3:DA$105=AP129)*(DD$3:DD$105=AP132)*DC$3:DC$105)+SUMPRODUCT((DA$3:DA$105=AP129)*(DD$3:DD$105=AP128)*DC$3:DC$105)+SUMPRODUCT((DA$3:DA$105=AP130)*(DD$3:DD$105=AP129)*DB$3:DB$105)+SUMPRODUCT((DA$3:DA$105=AP131)*(DD$3:DD$105=AP129)*DB$3:DB$105)+SUMPRODUCT((DA$3:DA$105=AP132)*(DD$3:DD$105=AP129)*DB$3:DB$105)+SUMPRODUCT((DA$3:DA$105=AP128)*(DD$3:DD$105=AP129)*DB$3:DB$105)</f>
        <v>0</v>
      </c>
      <c r="AV129" s="231">
        <f>AT129-AU129+1000</f>
        <v>1000</v>
      </c>
      <c r="AW129" s="231" t="str">
        <f t="shared" ref="AW129:AW131" si="226">IF(AP129&lt;&gt;"",AQ129*3+AR129*1,"")</f>
        <v/>
      </c>
      <c r="AX129" s="231" t="str">
        <f>IF(AP129&lt;&gt;"",VLOOKUP(AP129,C$4:I$52,7,FALSE),"")</f>
        <v/>
      </c>
      <c r="AY129" s="231" t="str">
        <f>IF(AP129&lt;&gt;"",VLOOKUP(AP129,C$4:I$52,5,FALSE),"")</f>
        <v/>
      </c>
      <c r="AZ129" s="231" t="str">
        <f>IF(AP129&lt;&gt;"",VLOOKUP(AP129,C$4:K$52,9,FALSE),"")</f>
        <v/>
      </c>
      <c r="BA129" s="231" t="str">
        <f t="shared" ref="BA129:BA131" si="227">AW129</f>
        <v/>
      </c>
      <c r="BB129" s="231" t="str">
        <f>IF(AP129&lt;&gt;"",RANK(BA129,BA128:BA131),"")</f>
        <v/>
      </c>
      <c r="BC129" s="231" t="str">
        <f>IF(AP129&lt;&gt;"",SUMPRODUCT((BA128:BA131=BA129)*(AV128:AV131&gt;AV129)),"")</f>
        <v/>
      </c>
      <c r="BD129" s="231" t="str">
        <f>IF(AP129&lt;&gt;"",SUMPRODUCT((BA128:BA131=BA129)*(AV128:AV131=AV129)*(AT128:AT131&gt;AT129)),"")</f>
        <v/>
      </c>
      <c r="BE129" s="231" t="str">
        <f>IF(AP129&lt;&gt;"",SUMPRODUCT((BA128:BA131=BA129)*(AV128:AV131=AV129)*(AT128:AT131=AT129)*(AX128:AX131&gt;AX129)),"")</f>
        <v/>
      </c>
      <c r="BF129" s="231" t="str">
        <f>IF(AP129&lt;&gt;"",SUMPRODUCT((BA128:BA131=BA129)*(AV128:AV131=AV129)*(AT128:AT131=AT129)*(AX128:AX131=AX129)*(AY128:AY131&gt;AY129)),"")</f>
        <v/>
      </c>
      <c r="BG129" s="231" t="str">
        <f>IF(AP129&lt;&gt;"",SUMPRODUCT((BA128:BA131=BA129)*(AV128:AV131=AV129)*(AT128:AT131=AT129)*(AX128:AX131=AX129)*(AY128:AY131=AY129)*(AZ128:AZ131&gt;AZ129)),"")</f>
        <v/>
      </c>
      <c r="BH129" s="231" t="str">
        <f>IF(AP129&lt;&gt;"",SUM(BB129:BG129)+1,"")</f>
        <v/>
      </c>
      <c r="DX129" s="230"/>
      <c r="DY129" s="230"/>
      <c r="DZ129" s="230"/>
      <c r="EA129" s="237"/>
      <c r="EB129" s="230"/>
      <c r="EC129" s="230"/>
    </row>
    <row r="130" spans="10:133" x14ac:dyDescent="0.25">
      <c r="J130" s="231">
        <f>IF(COUNTIF(J$49:J$52,4)=4,1,SUMPRODUCT((J$49:J$52=J51)*(I$49:I$52=I51)*(G$49:G$52&gt;G51))+1)</f>
        <v>1</v>
      </c>
      <c r="U130" s="231">
        <f>IF(V51&lt;&gt;"",SUMPRODUCT((AC$49:AC$52=AC51)*(AB$49:AB$52=AB51)*(Z$49:Z$52=Z51)*(AA$49:AA$52=AA51)),"")</f>
        <v>4</v>
      </c>
      <c r="V130" s="231" t="str">
        <f>IF(AND(U130&lt;&gt;"",U130&gt;1),V51,"")</f>
        <v>Uruguay</v>
      </c>
      <c r="W130" s="231">
        <f>SUMPRODUCT((DA$3:DA$105=V130)*(DD$3:DD$105=V131)*(DE$3:DE$105="W"))+SUMPRODUCT((DA$3:DA$105=V130)*(DD$3:DD$105=V132)*(DE$3:DE$105="W"))+SUMPRODUCT((DA$3:DA$105=V130)*(DD$3:DD$105=V128)*(DE$3:DE$105="W"))+SUMPRODUCT((DA$3:DA$105=V130)*(DD$3:DD$105=V129)*(DE$3:DE$105="W"))+SUMPRODUCT((DA$3:DA$105=V131)*(DD$3:DD$105=V130)*(DF$3:DF$105="W"))+SUMPRODUCT((DA$3:DA$105=V132)*(DD$3:DD$105=V130)*(DF$3:DF$105="W"))+SUMPRODUCT((DA$3:DA$105=V128)*(DD$3:DD$105=V130)*(DF$3:DF$105="W"))+SUMPRODUCT((DA$3:DA$105=V129)*(DD$3:DD$105=V130)*(DF$3:DF$105="W"))</f>
        <v>0</v>
      </c>
      <c r="X130" s="231">
        <f>SUMPRODUCT((DA$3:DA$105=V130)*(DD$3:DD$105=V131)*(DE$3:DE$105="D"))+SUMPRODUCT((DA$3:DA$105=V130)*(DD$3:DD$105=V132)*(DE$3:DE$105="D"))+SUMPRODUCT((DA$3:DA$105=V130)*(DD$3:DD$105=V128)*(DE$3:DE$105="D"))+SUMPRODUCT((DA$3:DA$105=V130)*(DD$3:DD$105=V129)*(DE$3:DE$105="D"))+SUMPRODUCT((DA$3:DA$105=V131)*(DD$3:DD$105=V130)*(DE$3:DE$105="D"))+SUMPRODUCT((DA$3:DA$105=V132)*(DD$3:DD$105=V130)*(DE$3:DE$105="D"))+SUMPRODUCT((DA$3:DA$105=V128)*(DD$3:DD$105=V130)*(DE$3:DE$105="D"))+SUMPRODUCT((DA$3:DA$105=V129)*(DD$3:DD$105=V130)*(DE$3:DE$105="D"))</f>
        <v>0</v>
      </c>
      <c r="Y130" s="231">
        <f>SUMPRODUCT((DA$3:DA$105=V130)*(DD$3:DD$105=V131)*(DE$3:DE$105="L"))+SUMPRODUCT((DA$3:DA$105=V130)*(DD$3:DD$105=V132)*(DE$3:DE$105="L"))+SUMPRODUCT((DA$3:DA$105=V130)*(DD$3:DD$105=V128)*(DE$3:DE$105="L"))+SUMPRODUCT((DA$3:DA$105=V130)*(DD$3:DD$105=V129)*(DE$3:DE$105="L"))+SUMPRODUCT((DA$3:DA$105=V131)*(DD$3:DD$105=V130)*(DF$3:DF$105="L"))+SUMPRODUCT((DA$3:DA$105=V132)*(DD$3:DD$105=V130)*(DF$3:DF$105="L"))+SUMPRODUCT((DA$3:DA$105=V128)*(DD$3:DD$105=V130)*(DF$3:DF$105="L"))+SUMPRODUCT((DA$3:DA$105=V129)*(DD$3:DD$105=V130)*(DF$3:DF$105="L"))</f>
        <v>0</v>
      </c>
      <c r="Z130" s="231">
        <f>SUMPRODUCT((DA$3:DA$105=V130)*(DD$3:DD$105=V131)*DB$3:DB$105)+SUMPRODUCT((DA$3:DA$105=V130)*(DD$3:DD$105=V132)*DB$3:DB$105)+SUMPRODUCT((DA$3:DA$105=V130)*(DD$3:DD$105=V128)*DB$3:DB$105)+SUMPRODUCT((DA$3:DA$105=V130)*(DD$3:DD$105=V129)*DB$3:DB$105)+SUMPRODUCT((DA$3:DA$105=V131)*(DD$3:DD$105=V130)*DC$3:DC$105)+SUMPRODUCT((DA$3:DA$105=V132)*(DD$3:DD$105=V130)*DC$3:DC$105)+SUMPRODUCT((DA$3:DA$105=V128)*(DD$3:DD$105=V130)*DC$3:DC$105)+SUMPRODUCT((DA$3:DA$105=V129)*(DD$3:DD$105=V130)*DC$3:DC$105)</f>
        <v>0</v>
      </c>
      <c r="AA130" s="231">
        <f>SUMPRODUCT((DA$3:DA$105=V130)*(DD$3:DD$105=V131)*DC$3:DC$105)+SUMPRODUCT((DA$3:DA$105=V130)*(DD$3:DD$105=V132)*DC$3:DC$105)+SUMPRODUCT((DA$3:DA$105=V130)*(DD$3:DD$105=V128)*DC$3:DC$105)+SUMPRODUCT((DA$3:DA$105=V130)*(DD$3:DD$105=V129)*DC$3:DC$105)+SUMPRODUCT((DA$3:DA$105=V131)*(DD$3:DD$105=V130)*DB$3:DB$105)+SUMPRODUCT((DA$3:DA$105=V132)*(DD$3:DD$105=V130)*DB$3:DB$105)+SUMPRODUCT((DA$3:DA$105=V128)*(DD$3:DD$105=V130)*DB$3:DB$105)+SUMPRODUCT((DA$3:DA$105=V129)*(DD$3:DD$105=V130)*DB$3:DB$105)</f>
        <v>0</v>
      </c>
      <c r="AB130" s="231">
        <f>Z130-AA130+1000</f>
        <v>1000</v>
      </c>
      <c r="AC130" s="231">
        <f t="shared" si="217"/>
        <v>0</v>
      </c>
      <c r="AD130" s="231">
        <f>IF(V130&lt;&gt;"",VLOOKUP(V130,C$4:I$52,7,FALSE),"")</f>
        <v>1000</v>
      </c>
      <c r="AE130" s="231">
        <f>IF(V130&lt;&gt;"",VLOOKUP(V130,C$4:I$52,5,FALSE),"")</f>
        <v>0</v>
      </c>
      <c r="AF130" s="231">
        <f>IF(V130&lt;&gt;"",VLOOKUP(V130,C$4:K$52,9,FALSE),"")</f>
        <v>-117</v>
      </c>
      <c r="AG130" s="231">
        <f t="shared" si="218"/>
        <v>0</v>
      </c>
      <c r="AH130" s="231">
        <f t="shared" si="219"/>
        <v>1</v>
      </c>
      <c r="AI130" s="231">
        <f t="shared" si="220"/>
        <v>0</v>
      </c>
      <c r="AJ130" s="231">
        <f t="shared" si="221"/>
        <v>0</v>
      </c>
      <c r="AK130" s="231">
        <f t="shared" si="222"/>
        <v>0</v>
      </c>
      <c r="AL130" s="231">
        <f t="shared" si="223"/>
        <v>0</v>
      </c>
      <c r="AM130" s="231">
        <f t="shared" si="224"/>
        <v>1</v>
      </c>
      <c r="AN130" s="231">
        <f t="shared" si="225"/>
        <v>2</v>
      </c>
      <c r="AO130" s="231" t="str">
        <f>IF(AP51&lt;&gt;"",SUMPRODUCT((AW$49:AW$52=AW51)*(AV$49:AV$52=AV51)*(AT$49:AT$52=AT51)*(AU$49:AU$52=AU51)),"")</f>
        <v/>
      </c>
      <c r="AP130" s="231" t="str">
        <f>IF(AND(AO130&lt;&gt;"",AO130&gt;1),AP51,"")</f>
        <v/>
      </c>
      <c r="AQ130" s="231">
        <f>SUMPRODUCT((DA$3:DA$105=AP130)*(DD$3:DD$105=AP131)*(DE$3:DE$105="W"))+SUMPRODUCT((DA$3:DA$105=AP130)*(DD$3:DD$105=AP132)*(DE$3:DE$105="W"))+SUMPRODUCT((DA$3:DA$105=AP130)*(DD$3:DD$105=AP129)*(DE$3:DE$105="W"))+SUMPRODUCT((DA$3:DA$105=AP131)*(DD$3:DD$105=AP130)*(DF$3:DF$105="W"))+SUMPRODUCT((DA$3:DA$105=AP132)*(DD$3:DD$105=AP130)*(DF$3:DF$105="W"))+SUMPRODUCT((DA$3:DA$105=AP129)*(DD$3:DD$105=AP130)*(DF$3:DF$105="W"))</f>
        <v>0</v>
      </c>
      <c r="AR130" s="231">
        <f>SUMPRODUCT((DA$3:DA$105=AP130)*(DD$3:DD$105=AP131)*(DE$3:DE$105="D"))+SUMPRODUCT((DA$3:DA$105=AP130)*(DD$3:DD$105=AP132)*(DE$3:DE$105="D"))+SUMPRODUCT((DA$3:DA$105=AP130)*(DD$3:DD$105=AP129)*(DE$3:DE$105="D"))+SUMPRODUCT((DA$3:DA$105=AP131)*(DD$3:DD$105=AP130)*(DE$3:DE$105="D"))+SUMPRODUCT((DA$3:DA$105=AP132)*(DD$3:DD$105=AP130)*(DE$3:DE$105="D"))+SUMPRODUCT((DA$3:DA$105=AP129)*(DD$3:DD$105=AP130)*(DE$3:DE$105="D"))</f>
        <v>0</v>
      </c>
      <c r="AS130" s="231">
        <f>SUMPRODUCT((DA$3:DA$105=AP130)*(DD$3:DD$105=AP131)*(DE$3:DE$105="L"))+SUMPRODUCT((DA$3:DA$105=AP130)*(DD$3:DD$105=AP132)*(DE$3:DE$105="L"))+SUMPRODUCT((DA$3:DA$105=AP130)*(DD$3:DD$105=AP129)*(DE$3:DE$105="L"))+SUMPRODUCT((DA$3:DA$105=AP131)*(DD$3:DD$105=AP130)*(DF$3:DF$105="L"))+SUMPRODUCT((DA$3:DA$105=AP132)*(DD$3:DD$105=AP130)*(DF$3:DF$105="L"))+SUMPRODUCT((DA$3:DA$105=AP129)*(DD$3:DD$105=AP130)*(DF$3:DF$105="L"))</f>
        <v>0</v>
      </c>
      <c r="AT130" s="231">
        <f>SUMPRODUCT((DA$3:DA$105=AP130)*(DD$3:DD$105=AP131)*DB$3:DB$105)+SUMPRODUCT((DA$3:DA$105=AP130)*(DD$3:DD$105=AP132)*DB$3:DB$105)+SUMPRODUCT((DA$3:DA$105=AP130)*(DD$3:DD$105=AP128)*DB$3:DB$105)+SUMPRODUCT((DA$3:DA$105=AP130)*(DD$3:DD$105=AP129)*DB$3:DB$105)+SUMPRODUCT((DA$3:DA$105=AP131)*(DD$3:DD$105=AP130)*DC$3:DC$105)+SUMPRODUCT((DA$3:DA$105=AP132)*(DD$3:DD$105=AP130)*DC$3:DC$105)+SUMPRODUCT((DA$3:DA$105=AP128)*(DD$3:DD$105=AP130)*DC$3:DC$105)+SUMPRODUCT((DA$3:DA$105=AP129)*(DD$3:DD$105=AP130)*DC$3:DC$105)</f>
        <v>0</v>
      </c>
      <c r="AU130" s="231">
        <f>SUMPRODUCT((DA$3:DA$105=AP130)*(DD$3:DD$105=AP131)*DC$3:DC$105)+SUMPRODUCT((DA$3:DA$105=AP130)*(DD$3:DD$105=AP132)*DC$3:DC$105)+SUMPRODUCT((DA$3:DA$105=AP130)*(DD$3:DD$105=AP128)*DC$3:DC$105)+SUMPRODUCT((DA$3:DA$105=AP130)*(DD$3:DD$105=AP129)*DC$3:DC$105)+SUMPRODUCT((DA$3:DA$105=AP131)*(DD$3:DD$105=AP130)*DB$3:DB$105)+SUMPRODUCT((DA$3:DA$105=AP132)*(DD$3:DD$105=AP130)*DB$3:DB$105)+SUMPRODUCT((DA$3:DA$105=AP128)*(DD$3:DD$105=AP130)*DB$3:DB$105)+SUMPRODUCT((DA$3:DA$105=AP129)*(DD$3:DD$105=AP130)*DB$3:DB$105)</f>
        <v>0</v>
      </c>
      <c r="AV130" s="231">
        <f>AT130-AU130+1000</f>
        <v>1000</v>
      </c>
      <c r="AW130" s="231" t="str">
        <f t="shared" si="226"/>
        <v/>
      </c>
      <c r="AX130" s="231" t="str">
        <f>IF(AP130&lt;&gt;"",VLOOKUP(AP130,C$4:I$52,7,FALSE),"")</f>
        <v/>
      </c>
      <c r="AY130" s="231" t="str">
        <f>IF(AP130&lt;&gt;"",VLOOKUP(AP130,C$4:I$52,5,FALSE),"")</f>
        <v/>
      </c>
      <c r="AZ130" s="231" t="str">
        <f>IF(AP130&lt;&gt;"",VLOOKUP(AP130,C$4:K$52,9,FALSE),"")</f>
        <v/>
      </c>
      <c r="BA130" s="231" t="str">
        <f t="shared" si="227"/>
        <v/>
      </c>
      <c r="BB130" s="231" t="str">
        <f>IF(AP130&lt;&gt;"",RANK(BA130,BA128:BA131),"")</f>
        <v/>
      </c>
      <c r="BC130" s="231" t="str">
        <f>IF(AP130&lt;&gt;"",SUMPRODUCT((BA128:BA131=BA130)*(AV128:AV131&gt;AV130)),"")</f>
        <v/>
      </c>
      <c r="BD130" s="231" t="str">
        <f>IF(AP130&lt;&gt;"",SUMPRODUCT((BA128:BA131=BA130)*(AV128:AV131=AV130)*(AT128:AT131&gt;AT130)),"")</f>
        <v/>
      </c>
      <c r="BE130" s="231" t="str">
        <f>IF(AP130&lt;&gt;"",SUMPRODUCT((BA128:BA131=BA130)*(AV128:AV131=AV130)*(AT128:AT131=AT130)*(AX128:AX131&gt;AX130)),"")</f>
        <v/>
      </c>
      <c r="BF130" s="231" t="str">
        <f>IF(AP130&lt;&gt;"",SUMPRODUCT((BA128:BA131=BA130)*(AV128:AV131=AV130)*(AT128:AT131=AT130)*(AX128:AX131=AX130)*(AY128:AY131&gt;AY130)),"")</f>
        <v/>
      </c>
      <c r="BG130" s="231" t="str">
        <f>IF(AP130&lt;&gt;"",SUMPRODUCT((BA128:BA131=BA130)*(AV128:AV131=AV130)*(AT128:AT131=AT130)*(AX128:AX131=AX130)*(AY128:AY131=AY130)*(AZ128:AZ131&gt;AZ130)),"")</f>
        <v/>
      </c>
      <c r="BH130" s="231" t="str">
        <f t="shared" ref="BH130:BH131" si="228">IF(AP130&lt;&gt;"",SUM(BB130:BG130)+1,"")</f>
        <v/>
      </c>
      <c r="DX130" s="230"/>
      <c r="DY130" s="230"/>
      <c r="DZ130" s="230"/>
      <c r="EA130" s="237"/>
      <c r="EB130" s="230"/>
      <c r="EC130" s="230"/>
    </row>
    <row r="131" spans="10:133" x14ac:dyDescent="0.25">
      <c r="J131" s="231">
        <f>IF(COUNTIF(J$49:J$52,4)=4,1,SUMPRODUCT((J$49:J$52=J52)*(I$49:I$52=I52)*(G$49:G$52&gt;G52))+1)</f>
        <v>1</v>
      </c>
      <c r="U131" s="231">
        <f>IF(V52&lt;&gt;"",SUMPRODUCT((AC$49:AC$52=AC52)*(AB$49:AB$52=AB52)*(Z$49:Z$52=Z52)*(AA$49:AA$52=AA52)),"")</f>
        <v>4</v>
      </c>
      <c r="V131" s="231" t="str">
        <f>IF(AND(U131&lt;&gt;"",U131&gt;1),V52,"")</f>
        <v>Spain</v>
      </c>
      <c r="W131" s="231">
        <f>SUMPRODUCT((DA$3:DA$105=V131)*(DD$3:DD$105=V132)*(DE$3:DE$105="W"))+SUMPRODUCT((DA$3:DA$105=V131)*(DD$3:DD$105=V128)*(DE$3:DE$105="W"))+SUMPRODUCT((DA$3:DA$105=V131)*(DD$3:DD$105=V129)*(DE$3:DE$105="W"))+SUMPRODUCT((DA$3:DA$105=V131)*(DD$3:DD$105=V130)*(DE$3:DE$105="W"))+SUMPRODUCT((DA$3:DA$105=V132)*(DD$3:DD$105=V131)*(DF$3:DF$105="W"))+SUMPRODUCT((DA$3:DA$105=V128)*(DD$3:DD$105=V131)*(DF$3:DF$105="W"))+SUMPRODUCT((DA$3:DA$105=V129)*(DD$3:DD$105=V131)*(DF$3:DF$105="W"))+SUMPRODUCT((DA$3:DA$105=V130)*(DD$3:DD$105=V131)*(DF$3:DF$105="W"))</f>
        <v>0</v>
      </c>
      <c r="X131" s="231">
        <f>SUMPRODUCT((DA$3:DA$105=V131)*(DD$3:DD$105=V132)*(DE$3:DE$105="D"))+SUMPRODUCT((DA$3:DA$105=V131)*(DD$3:DD$105=V128)*(DE$3:DE$105="D"))+SUMPRODUCT((DA$3:DA$105=V131)*(DD$3:DD$105=V129)*(DE$3:DE$105="D"))+SUMPRODUCT((DA$3:DA$105=V131)*(DD$3:DD$105=V130)*(DE$3:DE$105="D"))+SUMPRODUCT((DA$3:DA$105=V132)*(DD$3:DD$105=V131)*(DE$3:DE$105="D"))+SUMPRODUCT((DA$3:DA$105=V128)*(DD$3:DD$105=V131)*(DE$3:DE$105="D"))+SUMPRODUCT((DA$3:DA$105=V129)*(DD$3:DD$105=V131)*(DE$3:DE$105="D"))+SUMPRODUCT((DA$3:DA$105=V130)*(DD$3:DD$105=V131)*(DE$3:DE$105="D"))</f>
        <v>0</v>
      </c>
      <c r="Y131" s="231">
        <f>SUMPRODUCT((DA$3:DA$105=V131)*(DD$3:DD$105=V132)*(DE$3:DE$105="L"))+SUMPRODUCT((DA$3:DA$105=V131)*(DD$3:DD$105=V128)*(DE$3:DE$105="L"))+SUMPRODUCT((DA$3:DA$105=V131)*(DD$3:DD$105=V129)*(DE$3:DE$105="L"))+SUMPRODUCT((DA$3:DA$105=V131)*(DD$3:DD$105=V130)*(DE$3:DE$105="L"))+SUMPRODUCT((DA$3:DA$105=V132)*(DD$3:DD$105=V131)*(DF$3:DF$105="L"))+SUMPRODUCT((DA$3:DA$105=V128)*(DD$3:DD$105=V131)*(DF$3:DF$105="L"))+SUMPRODUCT((DA$3:DA$105=V129)*(DD$3:DD$105=V131)*(DF$3:DF$105="L"))+SUMPRODUCT((DA$3:DA$105=V130)*(DD$3:DD$105=V131)*(DF$3:DF$105="L"))</f>
        <v>0</v>
      </c>
      <c r="Z131" s="231">
        <f>SUMPRODUCT((DA$3:DA$105=V131)*(DD$3:DD$105=V132)*DB$3:DB$105)+SUMPRODUCT((DA$3:DA$105=V131)*(DD$3:DD$105=V128)*DB$3:DB$105)+SUMPRODUCT((DA$3:DA$105=V131)*(DD$3:DD$105=V129)*DB$3:DB$105)+SUMPRODUCT((DA$3:DA$105=V131)*(DD$3:DD$105=V130)*DB$3:DB$105)+SUMPRODUCT((DA$3:DA$105=V132)*(DD$3:DD$105=V131)*DC$3:DC$105)+SUMPRODUCT((DA$3:DA$105=V128)*(DD$3:DD$105=V131)*DC$3:DC$105)+SUMPRODUCT((DA$3:DA$105=V129)*(DD$3:DD$105=V131)*DC$3:DC$105)+SUMPRODUCT((DA$3:DA$105=V130)*(DD$3:DD$105=V131)*DC$3:DC$105)</f>
        <v>0</v>
      </c>
      <c r="AA131" s="231">
        <f>SUMPRODUCT((DA$3:DA$105=V131)*(DD$3:DD$105=V132)*DC$3:DC$105)+SUMPRODUCT((DA$3:DA$105=V131)*(DD$3:DD$105=V128)*DC$3:DC$105)+SUMPRODUCT((DA$3:DA$105=V131)*(DD$3:DD$105=V129)*DC$3:DC$105)+SUMPRODUCT((DA$3:DA$105=V131)*(DD$3:DD$105=V130)*DC$3:DC$105)+SUMPRODUCT((DA$3:DA$105=V132)*(DD$3:DD$105=V131)*DB$3:DB$105)+SUMPRODUCT((DA$3:DA$105=V128)*(DD$3:DD$105=V131)*DB$3:DB$105)+SUMPRODUCT((DA$3:DA$105=V129)*(DD$3:DD$105=V131)*DB$3:DB$105)+SUMPRODUCT((DA$3:DA$105=V130)*(DD$3:DD$105=V131)*DB$3:DB$105)</f>
        <v>0</v>
      </c>
      <c r="AB131" s="231">
        <f>Z131-AA131+1000</f>
        <v>1000</v>
      </c>
      <c r="AC131" s="231">
        <f t="shared" si="217"/>
        <v>0</v>
      </c>
      <c r="AD131" s="231">
        <f>IF(V131&lt;&gt;"",VLOOKUP(V131,C$4:I$52,7,FALSE),"")</f>
        <v>1000</v>
      </c>
      <c r="AE131" s="231">
        <f>IF(V131&lt;&gt;"",VLOOKUP(V131,C$4:I$52,5,FALSE),"")</f>
        <v>0</v>
      </c>
      <c r="AF131" s="231">
        <f>IF(V131&lt;&gt;"",VLOOKUP(V131,C$4:K$52,9,FALSE),"")</f>
        <v>-101</v>
      </c>
      <c r="AG131" s="231">
        <f t="shared" si="218"/>
        <v>0</v>
      </c>
      <c r="AH131" s="231">
        <f t="shared" si="219"/>
        <v>1</v>
      </c>
      <c r="AI131" s="231">
        <f t="shared" si="220"/>
        <v>0</v>
      </c>
      <c r="AJ131" s="231">
        <f t="shared" si="221"/>
        <v>0</v>
      </c>
      <c r="AK131" s="231">
        <f t="shared" si="222"/>
        <v>0</v>
      </c>
      <c r="AL131" s="231">
        <f t="shared" si="223"/>
        <v>0</v>
      </c>
      <c r="AM131" s="231">
        <f t="shared" si="224"/>
        <v>0</v>
      </c>
      <c r="AN131" s="231">
        <f t="shared" si="225"/>
        <v>1</v>
      </c>
      <c r="AO131" s="231" t="str">
        <f>IF(AP52&lt;&gt;"",SUMPRODUCT((AW$49:AW$52=AW52)*(AV$49:AV$52=AV52)*(AT$49:AT$52=AT52)*(AU$49:AU$52=AU52)),"")</f>
        <v/>
      </c>
      <c r="AP131" s="231" t="str">
        <f>IF(AND(AO131&lt;&gt;"",AO131&gt;1),AP52,"")</f>
        <v/>
      </c>
      <c r="AQ131" s="231" t="str">
        <f>IF(AP131&lt;&gt;"",SUMPRODUCT((DA$3:DA$105=AP131)*(DD$3:DD$105=AP132)*(DE$3:DE$105="W"))+SUMPRODUCT((DA$3:DA$105=AP131)*(DD$3:DD$105=AP129)*(DE$3:DE$105="W"))+SUMPRODUCT((DA$3:DA$105=AP131)*(DD$3:DD$105=AP130)*(DE$3:DE$105="W"))+SUMPRODUCT((DA$3:DA$105=AP132)*(DD$3:DD$105=AP131)*(DF$3:DF$105="W"))+SUMPRODUCT((DA$3:DA$105=AP129)*(DD$3:DD$105=AP131)*(DF$3:DF$105="W"))+SUMPRODUCT((DA$3:DA$105=AP130)*(DD$3:DD$105=AP131)*(DF$3:DF$105="W")),"")</f>
        <v/>
      </c>
      <c r="AR131" s="231" t="str">
        <f>IF(AP131&lt;&gt;"",SUMPRODUCT((DA$3:DA$105=AP131)*(DD$3:DD$105=AP132)*(DE$3:DE$105="D"))+SUMPRODUCT((DA$3:DA$105=AP131)*(DD$3:DD$105=AP129)*(DE$3:DE$105="D"))+SUMPRODUCT((DA$3:DA$105=AP131)*(DD$3:DD$105=AP130)*(DE$3:DE$105="D"))+SUMPRODUCT((DA$3:DA$105=AP132)*(DD$3:DD$105=AP131)*(DE$3:DE$105="D"))+SUMPRODUCT((DA$3:DA$105=AP129)*(DD$3:DD$105=AP131)*(DE$3:DE$105="D"))+SUMPRODUCT((DA$3:DA$105=AP130)*(DD$3:DD$105=AP131)*(DE$3:DE$105="D")),"")</f>
        <v/>
      </c>
      <c r="AS131" s="231" t="str">
        <f>IF(AP131&lt;&gt;"",SUMPRODUCT((DA$3:DA$105=AP131)*(DD$3:DD$105=AP132)*(DE$3:DE$105="L"))+SUMPRODUCT((DA$3:DA$105=AP131)*(DD$3:DD$105=AP129)*(DE$3:DE$105="L"))+SUMPRODUCT((DA$3:DA$105=AP131)*(DD$3:DD$105=AP130)*(DE$3:DE$105="L"))+SUMPRODUCT((DA$3:DA$105=AP132)*(DD$3:DD$105=AP131)*(DF$3:DF$105="L"))+SUMPRODUCT((DA$3:DA$105=AP129)*(DD$3:DD$105=AP131)*(DF$3:DF$105="L"))+SUMPRODUCT((DA$3:DA$105=AP130)*(DD$3:DD$105=AP131)*(DF$3:DF$105="L")),"")</f>
        <v/>
      </c>
      <c r="AT131" s="231">
        <f>SUMPRODUCT((DA$3:DA$105=AP131)*(DD$3:DD$105=AP132)*DB$3:DB$105)+SUMPRODUCT((DA$3:DA$105=AP131)*(DD$3:DD$105=AP128)*DB$3:DB$105)+SUMPRODUCT((DA$3:DA$105=AP131)*(DD$3:DD$105=AP129)*DB$3:DB$105)+SUMPRODUCT((DA$3:DA$105=AP131)*(DD$3:DD$105=AP130)*DB$3:DB$105)+SUMPRODUCT((DA$3:DA$105=AP132)*(DD$3:DD$105=AP131)*DC$3:DC$105)+SUMPRODUCT((DA$3:DA$105=AP128)*(DD$3:DD$105=AP131)*DC$3:DC$105)+SUMPRODUCT((DA$3:DA$105=AP129)*(DD$3:DD$105=AP131)*DC$3:DC$105)+SUMPRODUCT((DA$3:DA$105=AP130)*(DD$3:DD$105=AP131)*DC$3:DC$105)</f>
        <v>0</v>
      </c>
      <c r="AU131" s="231">
        <f>SUMPRODUCT((DA$3:DA$105=AP131)*(DD$3:DD$105=AP132)*DC$3:DC$105)+SUMPRODUCT((DA$3:DA$105=AP131)*(DD$3:DD$105=AP128)*DC$3:DC$105)+SUMPRODUCT((DA$3:DA$105=AP131)*(DD$3:DD$105=AP129)*DC$3:DC$105)+SUMPRODUCT((DA$3:DA$105=AP131)*(DD$3:DD$105=AP130)*DC$3:DC$105)+SUMPRODUCT((DA$3:DA$105=AP132)*(DD$3:DD$105=AP131)*DB$3:DB$105)+SUMPRODUCT((DA$3:DA$105=AP128)*(DD$3:DD$105=AP131)*DB$3:DB$105)+SUMPRODUCT((DA$3:DA$105=AP129)*(DD$3:DD$105=AP131)*DB$3:DB$105)+SUMPRODUCT((DA$3:DA$105=AP130)*(DD$3:DD$105=AP131)*DB$3:DB$105)</f>
        <v>0</v>
      </c>
      <c r="AV131" s="231">
        <f>AT131-AU131+1000</f>
        <v>1000</v>
      </c>
      <c r="AW131" s="231" t="str">
        <f t="shared" si="226"/>
        <v/>
      </c>
      <c r="AX131" s="231" t="str">
        <f>IF(AP131&lt;&gt;"",VLOOKUP(AP131,C$4:I$52,7,FALSE),"")</f>
        <v/>
      </c>
      <c r="AY131" s="231" t="str">
        <f>IF(AP131&lt;&gt;"",VLOOKUP(AP131,C$4:I$52,5,FALSE),"")</f>
        <v/>
      </c>
      <c r="AZ131" s="231" t="str">
        <f>IF(AP131&lt;&gt;"",VLOOKUP(AP131,C$4:K$52,9,FALSE),"")</f>
        <v/>
      </c>
      <c r="BA131" s="231" t="str">
        <f t="shared" si="227"/>
        <v/>
      </c>
      <c r="BB131" s="231" t="str">
        <f>IF(AP131&lt;&gt;"",RANK(BA131,BA128:BA131),"")</f>
        <v/>
      </c>
      <c r="BC131" s="231" t="str">
        <f>IF(AP131&lt;&gt;"",SUMPRODUCT((BA128:BA131=BA131)*(AV128:AV131&gt;AV131)),"")</f>
        <v/>
      </c>
      <c r="BD131" s="231" t="str">
        <f>IF(AP131&lt;&gt;"",SUMPRODUCT((BA128:BA131=BA131)*(AV128:AV131=AV131)*(AT128:AT131&gt;AT131)),"")</f>
        <v/>
      </c>
      <c r="BE131" s="231" t="str">
        <f>IF(AP131&lt;&gt;"",SUMPRODUCT((BA128:BA131=BA131)*(AV128:AV131=AV131)*(AT128:AT131=AT131)*(AX128:AX131&gt;AX131)),"")</f>
        <v/>
      </c>
      <c r="BF131" s="231" t="str">
        <f>IF(AP131&lt;&gt;"",SUMPRODUCT((BA128:BA131=BA131)*(AV128:AV131=AV131)*(AT128:AT131=AT131)*(AX128:AX131=AX131)*(AY128:AY131&gt;AY131)),"")</f>
        <v/>
      </c>
      <c r="BG131" s="231" t="str">
        <f>IF(AP131&lt;&gt;"",SUMPRODUCT((BA128:BA131=BA131)*(AV128:AV131=AV131)*(AT128:AT131=AT131)*(AX128:AX131=AX131)*(AY128:AY131=AY131)*(AZ128:AZ131&gt;AZ131)),"")</f>
        <v/>
      </c>
      <c r="BH131" s="231" t="str">
        <f t="shared" si="228"/>
        <v/>
      </c>
      <c r="DX131" s="230"/>
      <c r="DY131" s="230"/>
      <c r="DZ131" s="230"/>
      <c r="EA131" s="237"/>
      <c r="EB131" s="230"/>
      <c r="EC131" s="230"/>
    </row>
    <row r="132" spans="10:133" x14ac:dyDescent="0.25">
      <c r="DX132" s="230"/>
      <c r="DY132" s="230"/>
      <c r="DZ132" s="230"/>
      <c r="EA132" s="237"/>
      <c r="EB132" s="230"/>
      <c r="EC132" s="230"/>
    </row>
    <row r="133" spans="10:133" x14ac:dyDescent="0.25">
      <c r="U133" s="231">
        <f>IF(V134="",SUM(AH55:AM55),IF(V135="",SUM(AH56:AM56),IF(V136="",SUM(AH57:AM57),IF(V137="",SUM(AH58:AM58),0))))</f>
        <v>0</v>
      </c>
      <c r="AO133" s="231">
        <f>IF(AP135="",SUM(BB56:BG56),IF(AP136="",SUM(BB57:BG57),IF(AP137="",SUM(BB58:BG58),0)))</f>
        <v>0</v>
      </c>
      <c r="DX133" s="230"/>
      <c r="DY133" s="230"/>
      <c r="DZ133" s="230"/>
      <c r="EA133" s="237"/>
      <c r="EB133" s="230"/>
      <c r="EC133" s="230"/>
    </row>
    <row r="134" spans="10:133" x14ac:dyDescent="0.25">
      <c r="J134" s="231">
        <f>IF(COUNTIF(J$55:J$58,4)=4,1,SUMPRODUCT((J$55:J$58=J55)*(I$55:I$58=I55)*(G$55:G$58&gt;G55))+1)</f>
        <v>1</v>
      </c>
      <c r="U134" s="231">
        <f>IF(V55&lt;&gt;"",SUMPRODUCT((AC$55:AC$58=AC55)*(AB$55:AB$58=AB55)*(Z$55:Z$58=Z55)*(AA$55:AA$58=AA55)),"")</f>
        <v>4</v>
      </c>
      <c r="V134" s="231" t="str">
        <f>IF(AND(U134&lt;&gt;"",U134&gt;1),V55,"")</f>
        <v>Iraq</v>
      </c>
      <c r="W134" s="231">
        <f>SUMPRODUCT((DA$3:DA$105=V134)*(DD$3:DD$105=V135)*(DE$3:DE$105="W"))+SUMPRODUCT((DA$3:DA$105=V134)*(DD$3:DD$105=V136)*(DE$3:DE$105="W"))+SUMPRODUCT((DA$3:DA$105=V134)*(DD$3:DD$105=V137)*(DE$3:DE$105="W"))+SUMPRODUCT((DA$3:DA$105=V134)*(DD$3:DD$105=V138)*(DE$3:DE$105="W"))+SUMPRODUCT((DA$3:DA$105=V135)*(DD$3:DD$105=V134)*(DF$3:DF$105="W"))+SUMPRODUCT((DA$3:DA$105=V136)*(DD$3:DD$105=V134)*(DF$3:DF$105="W"))+SUMPRODUCT((DA$3:DA$105=V137)*(DD$3:DD$105=V134)*(DF$3:DF$105="W"))+SUMPRODUCT((DA$3:DA$105=V138)*(DD$3:DD$105=V134)*(DF$3:DF$105="W"))</f>
        <v>0</v>
      </c>
      <c r="X134" s="231">
        <f>SUMPRODUCT((DA$3:DA$105=V134)*(DD$3:DD$105=V135)*(DE$3:DE$105="D"))+SUMPRODUCT((DA$3:DA$105=V134)*(DD$3:DD$105=V136)*(DE$3:DE$105="D"))+SUMPRODUCT((DA$3:DA$105=V134)*(DD$3:DD$105=V137)*(DE$3:DE$105="D"))+SUMPRODUCT((DA$3:DA$105=V134)*(DD$3:DD$105=V138)*(DE$3:DE$105="D"))+SUMPRODUCT((DA$3:DA$105=V135)*(DD$3:DD$105=V134)*(DE$3:DE$105="D"))+SUMPRODUCT((DA$3:DA$105=V136)*(DD$3:DD$105=V134)*(DE$3:DE$105="D"))+SUMPRODUCT((DA$3:DA$105=V137)*(DD$3:DD$105=V134)*(DE$3:DE$105="D"))+SUMPRODUCT((DA$3:DA$105=V138)*(DD$3:DD$105=V134)*(DE$3:DE$105="D"))</f>
        <v>0</v>
      </c>
      <c r="Y134" s="231">
        <f>SUMPRODUCT((DA$3:DA$105=V134)*(DD$3:DD$105=V135)*(DE$3:DE$105="L"))+SUMPRODUCT((DA$3:DA$105=V134)*(DD$3:DD$105=V136)*(DE$3:DE$105="L"))+SUMPRODUCT((DA$3:DA$105=V134)*(DD$3:DD$105=V137)*(DE$3:DE$105="L"))+SUMPRODUCT((DA$3:DA$105=V134)*(DD$3:DD$105=V138)*(DE$3:DE$105="L"))+SUMPRODUCT((DA$3:DA$105=V135)*(DD$3:DD$105=V134)*(DF$3:DF$105="L"))+SUMPRODUCT((DA$3:DA$105=V136)*(DD$3:DD$105=V134)*(DF$3:DF$105="L"))+SUMPRODUCT((DA$3:DA$105=V137)*(DD$3:DD$105=V134)*(DF$3:DF$105="L"))+SUMPRODUCT((DA$3:DA$105=V138)*(DD$3:DD$105=V134)*(DF$3:DF$105="L"))</f>
        <v>0</v>
      </c>
      <c r="Z134" s="231">
        <f>SUMPRODUCT((DA$3:DA$105=V134)*(DD$3:DD$105=V135)*DB$3:DB$105)+SUMPRODUCT((DA$3:DA$105=V134)*(DD$3:DD$105=V136)*DB$3:DB$105)+SUMPRODUCT((DA$3:DA$105=V134)*(DD$3:DD$105=V137)*DB$3:DB$105)+SUMPRODUCT((DA$3:DA$105=V134)*(DD$3:DD$105=V138)*DB$3:DB$105)+SUMPRODUCT((DA$3:DA$105=V135)*(DD$3:DD$105=V134)*DC$3:DC$105)+SUMPRODUCT((DA$3:DA$105=V136)*(DD$3:DD$105=V134)*DC$3:DC$105)+SUMPRODUCT((DA$3:DA$105=V137)*(DD$3:DD$105=V134)*DC$3:DC$105)+SUMPRODUCT((DA$3:DA$105=V138)*(DD$3:DD$105=V134)*DC$3:DC$105)</f>
        <v>0</v>
      </c>
      <c r="AA134" s="231">
        <f>SUMPRODUCT((DA$3:DA$105=V134)*(DD$3:DD$105=V135)*DC$3:DC$105)+SUMPRODUCT((DA$3:DA$105=V134)*(DD$3:DD$105=V136)*DC$3:DC$105)+SUMPRODUCT((DA$3:DA$105=V134)*(DD$3:DD$105=V137)*DC$3:DC$105)+SUMPRODUCT((DA$3:DA$105=V134)*(DD$3:DD$105=V138)*DC$3:DC$105)+SUMPRODUCT((DA$3:DA$105=V135)*(DD$3:DD$105=V134)*DB$3:DB$105)+SUMPRODUCT((DA$3:DA$105=V136)*(DD$3:DD$105=V134)*DB$3:DB$105)+SUMPRODUCT((DA$3:DA$105=V137)*(DD$3:DD$105=V134)*DB$3:DB$105)+SUMPRODUCT((DA$3:DA$105=V138)*(DD$3:DD$105=V134)*DB$3:DB$105)</f>
        <v>0</v>
      </c>
      <c r="AB134" s="231">
        <f>Z134-AA134+1000</f>
        <v>1000</v>
      </c>
      <c r="AC134" s="231">
        <f>IF(V134&lt;&gt;"",W134*3+X134*1,"")</f>
        <v>0</v>
      </c>
      <c r="AD134" s="231">
        <f>IF(V134&lt;&gt;"",VLOOKUP(V134,C$4:I$58,7,FALSE),"")</f>
        <v>1000</v>
      </c>
      <c r="AE134" s="231">
        <f>IF(V134&lt;&gt;"",VLOOKUP(V134,C$4:I$58,5,FALSE),"")</f>
        <v>0</v>
      </c>
      <c r="AF134" s="231">
        <f>IF(V134&lt;&gt;"",VLOOKUP(V134,C$4:K$58,9,FALSE),"")</f>
        <v>-158</v>
      </c>
      <c r="AG134" s="231">
        <f>AC134</f>
        <v>0</v>
      </c>
      <c r="AH134" s="231">
        <f>IF(V134&lt;&gt;"",RANK(AG134,AG$134:AG$137),"")</f>
        <v>1</v>
      </c>
      <c r="AI134" s="231">
        <f>IF(V134&lt;&gt;"",SUMPRODUCT((AG$134:AG$137=AG134)*(AB$134:AB$137&gt;AB134)),"")</f>
        <v>0</v>
      </c>
      <c r="AJ134" s="231">
        <f>IF(V134&lt;&gt;"",SUMPRODUCT((AG$134:AG$137=AG134)*(AB$134:AB$137=AB134)*(Z$134:Z$137&gt;Z134)),"")</f>
        <v>0</v>
      </c>
      <c r="AK134" s="231">
        <f>IF(V134&lt;&gt;"",SUMPRODUCT((AG$134:AG$137=AG134)*(AB$134:AB$137=AB134)*(Z$134:Z$137=Z134)*(AD$134:AD$137&gt;AD134)),"")</f>
        <v>0</v>
      </c>
      <c r="AL134" s="231">
        <f>IF(V134&lt;&gt;"",SUMPRODUCT((AG$134:AG$137=AG134)*(AB$134:AB$137=AB134)*(Z$134:Z$137=Z134)*(AD$134:AD$137=AD134)*(AE$134:AE$137&gt;AE134)),"")</f>
        <v>0</v>
      </c>
      <c r="AM134" s="231">
        <f>IF(V134&lt;&gt;"",SUMPRODUCT((AG$134:AG$137=AG134)*(AB$134:AB$137=AB134)*(Z$134:Z$137=Z134)*(AD$134:AD$137=AD134)*(AE$134:AE$137=AE134)*(AF$134:AF$137&gt;AF134)),"")</f>
        <v>3</v>
      </c>
      <c r="AN134" s="231">
        <f>IF(V134&lt;&gt;"",SUM(AH134:AM134),"")</f>
        <v>4</v>
      </c>
      <c r="DX134" s="230"/>
      <c r="DY134" s="230"/>
      <c r="DZ134" s="230"/>
      <c r="EA134" s="237"/>
      <c r="EB134" s="230"/>
      <c r="EC134" s="230"/>
    </row>
    <row r="135" spans="10:133" x14ac:dyDescent="0.25">
      <c r="J135" s="231">
        <f>IF(COUNTIF(J$55:J$58,4)=4,1,SUMPRODUCT((J$55:J$58=J56)*(I$55:I$58=I56)*(G$55:G$58&gt;G56))+1)</f>
        <v>1</v>
      </c>
      <c r="U135" s="231">
        <f>IF(V56&lt;&gt;"",SUMPRODUCT((AC$55:AC$58=AC56)*(AB$55:AB$58=AB56)*(Z$55:Z$58=Z56)*(AA$55:AA$58=AA56)),"")</f>
        <v>4</v>
      </c>
      <c r="V135" s="231" t="str">
        <f>IF(AND(U135&lt;&gt;"",U135&gt;1),V56,"")</f>
        <v>Norway</v>
      </c>
      <c r="W135" s="231">
        <f>SUMPRODUCT((DA$3:DA$105=V135)*(DD$3:DD$105=V136)*(DE$3:DE$105="W"))+SUMPRODUCT((DA$3:DA$105=V135)*(DD$3:DD$105=V137)*(DE$3:DE$105="W"))+SUMPRODUCT((DA$3:DA$105=V135)*(DD$3:DD$105=V138)*(DE$3:DE$105="W"))+SUMPRODUCT((DA$3:DA$105=V135)*(DD$3:DD$105=V134)*(DE$3:DE$105="W"))+SUMPRODUCT((DA$3:DA$105=V136)*(DD$3:DD$105=V135)*(DF$3:DF$105="W"))+SUMPRODUCT((DA$3:DA$105=V137)*(DD$3:DD$105=V135)*(DF$3:DF$105="W"))+SUMPRODUCT((DA$3:DA$105=V138)*(DD$3:DD$105=V135)*(DF$3:DF$105="W"))+SUMPRODUCT((DA$3:DA$105=V134)*(DD$3:DD$105=V135)*(DF$3:DF$105="W"))</f>
        <v>0</v>
      </c>
      <c r="X135" s="231">
        <f>SUMPRODUCT((DA$3:DA$105=V135)*(DD$3:DD$105=V136)*(DE$3:DE$105="D"))+SUMPRODUCT((DA$3:DA$105=V135)*(DD$3:DD$105=V137)*(DE$3:DE$105="D"))+SUMPRODUCT((DA$3:DA$105=V135)*(DD$3:DD$105=V138)*(DE$3:DE$105="D"))+SUMPRODUCT((DA$3:DA$105=V135)*(DD$3:DD$105=V134)*(DE$3:DE$105="D"))+SUMPRODUCT((DA$3:DA$105=V136)*(DD$3:DD$105=V135)*(DE$3:DE$105="D"))+SUMPRODUCT((DA$3:DA$105=V137)*(DD$3:DD$105=V135)*(DE$3:DE$105="D"))+SUMPRODUCT((DA$3:DA$105=V138)*(DD$3:DD$105=V135)*(DE$3:DE$105="D"))+SUMPRODUCT((DA$3:DA$105=V134)*(DD$3:DD$105=V135)*(DE$3:DE$105="D"))</f>
        <v>0</v>
      </c>
      <c r="Y135" s="231">
        <f>SUMPRODUCT((DA$3:DA$105=V135)*(DD$3:DD$105=V136)*(DE$3:DE$105="L"))+SUMPRODUCT((DA$3:DA$105=V135)*(DD$3:DD$105=V137)*(DE$3:DE$105="L"))+SUMPRODUCT((DA$3:DA$105=V135)*(DD$3:DD$105=V138)*(DE$3:DE$105="L"))+SUMPRODUCT((DA$3:DA$105=V135)*(DD$3:DD$105=V134)*(DE$3:DE$105="L"))+SUMPRODUCT((DA$3:DA$105=V136)*(DD$3:DD$105=V135)*(DF$3:DF$105="L"))+SUMPRODUCT((DA$3:DA$105=V137)*(DD$3:DD$105=V135)*(DF$3:DF$105="L"))+SUMPRODUCT((DA$3:DA$105=V138)*(DD$3:DD$105=V135)*(DF$3:DF$105="L"))+SUMPRODUCT((DA$3:DA$105=V134)*(DD$3:DD$105=V135)*(DF$3:DF$105="L"))</f>
        <v>0</v>
      </c>
      <c r="Z135" s="231">
        <f>SUMPRODUCT((DA$3:DA$105=V135)*(DD$3:DD$105=V136)*DB$3:DB$105)+SUMPRODUCT((DA$3:DA$105=V135)*(DD$3:DD$105=V137)*DB$3:DB$105)+SUMPRODUCT((DA$3:DA$105=V135)*(DD$3:DD$105=V138)*DB$3:DB$105)+SUMPRODUCT((DA$3:DA$105=V135)*(DD$3:DD$105=V134)*DB$3:DB$105)+SUMPRODUCT((DA$3:DA$105=V136)*(DD$3:DD$105=V135)*DC$3:DC$105)+SUMPRODUCT((DA$3:DA$105=V137)*(DD$3:DD$105=V135)*DC$3:DC$105)+SUMPRODUCT((DA$3:DA$105=V138)*(DD$3:DD$105=V135)*DC$3:DC$105)+SUMPRODUCT((DA$3:DA$105=V134)*(DD$3:DD$105=V135)*DC$3:DC$105)</f>
        <v>0</v>
      </c>
      <c r="AA135" s="231">
        <f>SUMPRODUCT((DA$3:DA$105=V135)*(DD$3:DD$105=V136)*DC$3:DC$105)+SUMPRODUCT((DA$3:DA$105=V135)*(DD$3:DD$105=V137)*DC$3:DC$105)+SUMPRODUCT((DA$3:DA$105=V135)*(DD$3:DD$105=V138)*DC$3:DC$105)+SUMPRODUCT((DA$3:DA$105=V135)*(DD$3:DD$105=V134)*DC$3:DC$105)+SUMPRODUCT((DA$3:DA$105=V136)*(DD$3:DD$105=V135)*DB$3:DB$105)+SUMPRODUCT((DA$3:DA$105=V137)*(DD$3:DD$105=V135)*DB$3:DB$105)+SUMPRODUCT((DA$3:DA$105=V138)*(DD$3:DD$105=V135)*DB$3:DB$105)+SUMPRODUCT((DA$3:DA$105=V134)*(DD$3:DD$105=V135)*DB$3:DB$105)</f>
        <v>0</v>
      </c>
      <c r="AB135" s="231">
        <f>Z135-AA135+1000</f>
        <v>1000</v>
      </c>
      <c r="AC135" s="231">
        <f t="shared" ref="AC135:AC137" si="229">IF(V135&lt;&gt;"",W135*3+X135*1,"")</f>
        <v>0</v>
      </c>
      <c r="AD135" s="231">
        <f>IF(V135&lt;&gt;"",VLOOKUP(V135,C$4:I$58,7,FALSE),"")</f>
        <v>1000</v>
      </c>
      <c r="AE135" s="231">
        <f>IF(V135&lt;&gt;"",VLOOKUP(V135,C$4:I$58,5,FALSE),"")</f>
        <v>0</v>
      </c>
      <c r="AF135" s="231">
        <f>IF(V135&lt;&gt;"",VLOOKUP(V135,C$4:K$58,9,FALSE),"")</f>
        <v>-132</v>
      </c>
      <c r="AG135" s="231">
        <f t="shared" ref="AG135:AG137" si="230">AC135</f>
        <v>0</v>
      </c>
      <c r="AH135" s="231">
        <f t="shared" ref="AH135:AH137" si="231">IF(V135&lt;&gt;"",RANK(AG135,AG$134:AG$137),"")</f>
        <v>1</v>
      </c>
      <c r="AI135" s="231">
        <f>IF(V135&lt;&gt;"",SUMPRODUCT((AG$134:AG$137=AG135)*(AB$134:AB$137&gt;AB135)),"")</f>
        <v>0</v>
      </c>
      <c r="AJ135" s="231">
        <f>IF(V135&lt;&gt;"",SUMPRODUCT((AG$134:AG$137=AG135)*(AB$134:AB$137=AB135)*(Z$134:Z$137&gt;Z135)),"")</f>
        <v>0</v>
      </c>
      <c r="AK135" s="231">
        <f>IF(V135&lt;&gt;"",SUMPRODUCT((AG$134:AG$137=AG135)*(AB$134:AB$137=AB135)*(Z$134:Z$137=Z135)*(AD$134:AD$137&gt;AD135)),"")</f>
        <v>0</v>
      </c>
      <c r="AL135" s="231">
        <f>IF(V135&lt;&gt;"",SUMPRODUCT((AG$134:AG$137=AG135)*(AB$134:AB$137=AB135)*(Z$134:Z$137=Z135)*(AD$134:AD$137=AD135)*(AE$134:AE$137&gt;AE135)),"")</f>
        <v>0</v>
      </c>
      <c r="AM135" s="231">
        <f>IF(V135&lt;&gt;"",SUMPRODUCT((AG$134:AG$137=AG135)*(AB$134:AB$137=AB135)*(Z$134:Z$137=Z135)*(AD$134:AD$137=AD135)*(AE$134:AE$137=AE135)*(AF$134:AF$137&gt;AF135)),"")</f>
        <v>2</v>
      </c>
      <c r="AN135" s="231">
        <f t="shared" ref="AN135:AN137" si="232">IF(V135&lt;&gt;"",SUM(AH135:AM135),"")</f>
        <v>3</v>
      </c>
      <c r="AO135" s="231" t="str">
        <f>IF(AP56&lt;&gt;"",SUMPRODUCT((AW$55:AW$58=AW56)*(AV$55:AV$58=AV56)*(AT$55:AT$58=AT56)*(AU$55:AU$58=AU56)),"")</f>
        <v/>
      </c>
      <c r="AP135" s="231" t="str">
        <f>IF(AND(AO135&lt;&gt;"",AO135&gt;1),AP56,"")</f>
        <v/>
      </c>
      <c r="AQ135" s="231">
        <f>SUMPRODUCT((DA$3:DA$105=AP135)*(DD$3:DD$105=AP136)*(DE$3:DE$105="W"))+SUMPRODUCT((DA$3:DA$105=AP135)*(DD$3:DD$105=AP137)*(DE$3:DE$105="W"))+SUMPRODUCT((DA$3:DA$105=AP135)*(DD$3:DD$105=AP138)*(DE$3:DE$105="W"))+SUMPRODUCT((DA$3:DA$105=AP136)*(DD$3:DD$105=AP135)*(DF$3:DF$105="W"))+SUMPRODUCT((DA$3:DA$105=AP137)*(DD$3:DD$105=AP135)*(DF$3:DF$105="W"))+SUMPRODUCT((DA$3:DA$105=AP138)*(DD$3:DD$105=AP135)*(DF$3:DF$105="W"))</f>
        <v>0</v>
      </c>
      <c r="AR135" s="231">
        <f>SUMPRODUCT((DA$3:DA$105=AP135)*(DD$3:DD$105=AP136)*(DE$3:DE$105="D"))+SUMPRODUCT((DA$3:DA$105=AP135)*(DD$3:DD$105=AP137)*(DE$3:DE$105="D"))+SUMPRODUCT((DA$3:DA$105=AP135)*(DD$3:DD$105=AP138)*(DE$3:DE$105="D"))+SUMPRODUCT((DA$3:DA$105=AP136)*(DD$3:DD$105=AP135)*(DE$3:DE$105="D"))+SUMPRODUCT((DA$3:DA$105=AP137)*(DD$3:DD$105=AP135)*(DE$3:DE$105="D"))+SUMPRODUCT((DA$3:DA$105=AP138)*(DD$3:DD$105=AP135)*(DE$3:DE$105="D"))</f>
        <v>0</v>
      </c>
      <c r="AS135" s="231">
        <f>SUMPRODUCT((DA$3:DA$105=AP135)*(DD$3:DD$105=AP136)*(DE$3:DE$105="L"))+SUMPRODUCT((DA$3:DA$105=AP135)*(DD$3:DD$105=AP137)*(DE$3:DE$105="L"))+SUMPRODUCT((DA$3:DA$105=AP135)*(DD$3:DD$105=AP138)*(DE$3:DE$105="L"))+SUMPRODUCT((DA$3:DA$105=AP136)*(DD$3:DD$105=AP135)*(DF$3:DF$105="L"))+SUMPRODUCT((DA$3:DA$105=AP137)*(DD$3:DD$105=AP135)*(DF$3:DF$105="L"))+SUMPRODUCT((DA$3:DA$105=AP138)*(DD$3:DD$105=AP135)*(DF$3:DF$105="L"))</f>
        <v>0</v>
      </c>
      <c r="AT135" s="231">
        <f>SUMPRODUCT((DA$3:DA$105=AP135)*(DD$3:DD$105=AP136)*DB$3:DB$105)+SUMPRODUCT((DA$3:DA$105=AP135)*(DD$3:DD$105=AP137)*DB$3:DB$105)+SUMPRODUCT((DA$3:DA$105=AP135)*(DD$3:DD$105=AP138)*DB$3:DB$105)+SUMPRODUCT((DA$3:DA$105=AP135)*(DD$3:DD$105=AP134)*DB$3:DB$105)+SUMPRODUCT((DA$3:DA$105=AP136)*(DD$3:DD$105=AP135)*DC$3:DC$105)+SUMPRODUCT((DA$3:DA$105=AP137)*(DD$3:DD$105=AP135)*DC$3:DC$105)+SUMPRODUCT((DA$3:DA$105=AP138)*(DD$3:DD$105=AP135)*DC$3:DC$105)+SUMPRODUCT((DA$3:DA$105=AP134)*(DD$3:DD$105=AP135)*DC$3:DC$105)</f>
        <v>0</v>
      </c>
      <c r="AU135" s="231">
        <f>SUMPRODUCT((DA$3:DA$105=AP135)*(DD$3:DD$105=AP136)*DC$3:DC$105)+SUMPRODUCT((DA$3:DA$105=AP135)*(DD$3:DD$105=AP137)*DC$3:DC$105)+SUMPRODUCT((DA$3:DA$105=AP135)*(DD$3:DD$105=AP138)*DC$3:DC$105)+SUMPRODUCT((DA$3:DA$105=AP135)*(DD$3:DD$105=AP134)*DC$3:DC$105)+SUMPRODUCT((DA$3:DA$105=AP136)*(DD$3:DD$105=AP135)*DB$3:DB$105)+SUMPRODUCT((DA$3:DA$105=AP137)*(DD$3:DD$105=AP135)*DB$3:DB$105)+SUMPRODUCT((DA$3:DA$105=AP138)*(DD$3:DD$105=AP135)*DB$3:DB$105)+SUMPRODUCT((DA$3:DA$105=AP134)*(DD$3:DD$105=AP135)*DB$3:DB$105)</f>
        <v>0</v>
      </c>
      <c r="AV135" s="231">
        <f>AT135-AU135+1000</f>
        <v>1000</v>
      </c>
      <c r="AW135" s="231" t="str">
        <f t="shared" ref="AW135:AW137" si="233">IF(AP135&lt;&gt;"",AQ135*3+AR135*1,"")</f>
        <v/>
      </c>
      <c r="AX135" s="231" t="str">
        <f>IF(AP135&lt;&gt;"",VLOOKUP(AP135,C$4:I$58,7,FALSE),"")</f>
        <v/>
      </c>
      <c r="AY135" s="231" t="str">
        <f>IF(AP135&lt;&gt;"",VLOOKUP(AP135,C$4:I$58,5,FALSE),"")</f>
        <v/>
      </c>
      <c r="AZ135" s="231" t="str">
        <f>IF(AP135&lt;&gt;"",VLOOKUP(AP135,C$4:K$58,9,FALSE),"")</f>
        <v/>
      </c>
      <c r="BA135" s="231" t="str">
        <f t="shared" ref="BA135:BA137" si="234">AW135</f>
        <v/>
      </c>
      <c r="BB135" s="231" t="str">
        <f>IF(AP135&lt;&gt;"",RANK(BA135,BA134:BA137),"")</f>
        <v/>
      </c>
      <c r="BC135" s="231" t="str">
        <f>IF(AP135&lt;&gt;"",SUMPRODUCT((BA134:BA137=BA135)*(AV134:AV137&gt;AV135)),"")</f>
        <v/>
      </c>
      <c r="BD135" s="231" t="str">
        <f>IF(AP135&lt;&gt;"",SUMPRODUCT((BA134:BA137=BA135)*(AV134:AV137=AV135)*(AT134:AT137&gt;AT135)),"")</f>
        <v/>
      </c>
      <c r="BE135" s="231" t="str">
        <f>IF(AP135&lt;&gt;"",SUMPRODUCT((BA134:BA137=BA135)*(AV134:AV137=AV135)*(AT134:AT137=AT135)*(AX134:AX137&gt;AX135)),"")</f>
        <v/>
      </c>
      <c r="BF135" s="231" t="str">
        <f>IF(AP135&lt;&gt;"",SUMPRODUCT((BA134:BA137=BA135)*(AV134:AV137=AV135)*(AT134:AT137=AT135)*(AX134:AX137=AX135)*(AY134:AY137&gt;AY135)),"")</f>
        <v/>
      </c>
      <c r="BG135" s="231" t="str">
        <f>IF(AP135&lt;&gt;"",SUMPRODUCT((BA134:BA137=BA135)*(AV134:AV137=AV135)*(AT134:AT137=AT135)*(AX134:AX137=AX135)*(AY134:AY137=AY135)*(AZ134:AZ137&gt;AZ135)),"")</f>
        <v/>
      </c>
      <c r="BH135" s="231" t="str">
        <f>IF(AP135&lt;&gt;"",SUM(BB135:BG135)+1,"")</f>
        <v/>
      </c>
      <c r="DX135" s="230"/>
      <c r="DY135" s="230"/>
      <c r="DZ135" s="230"/>
      <c r="EA135" s="237"/>
      <c r="EB135" s="230"/>
      <c r="EC135" s="230"/>
    </row>
    <row r="136" spans="10:133" x14ac:dyDescent="0.25">
      <c r="J136" s="231">
        <f>IF(COUNTIF(J$55:J$58,4)=4,1,SUMPRODUCT((J$55:J$58=J57)*(I$55:I$58=I57)*(G$55:G$58&gt;G57))+1)</f>
        <v>1</v>
      </c>
      <c r="U136" s="231">
        <f>IF(V57&lt;&gt;"",SUMPRODUCT((AC$55:AC$58=AC57)*(AB$55:AB$58=AB57)*(Z$55:Z$58=Z57)*(AA$55:AA$58=AA57)),"")</f>
        <v>4</v>
      </c>
      <c r="V136" s="231" t="str">
        <f>IF(AND(U136&lt;&gt;"",U136&gt;1),V57,"")</f>
        <v>Senegal</v>
      </c>
      <c r="W136" s="231">
        <f>SUMPRODUCT((DA$3:DA$105=V136)*(DD$3:DD$105=V137)*(DE$3:DE$105="W"))+SUMPRODUCT((DA$3:DA$105=V136)*(DD$3:DD$105=V138)*(DE$3:DE$105="W"))+SUMPRODUCT((DA$3:DA$105=V136)*(DD$3:DD$105=V134)*(DE$3:DE$105="W"))+SUMPRODUCT((DA$3:DA$105=V136)*(DD$3:DD$105=V135)*(DE$3:DE$105="W"))+SUMPRODUCT((DA$3:DA$105=V137)*(DD$3:DD$105=V136)*(DF$3:DF$105="W"))+SUMPRODUCT((DA$3:DA$105=V138)*(DD$3:DD$105=V136)*(DF$3:DF$105="W"))+SUMPRODUCT((DA$3:DA$105=V134)*(DD$3:DD$105=V136)*(DF$3:DF$105="W"))+SUMPRODUCT((DA$3:DA$105=V135)*(DD$3:DD$105=V136)*(DF$3:DF$105="W"))</f>
        <v>0</v>
      </c>
      <c r="X136" s="231">
        <f>SUMPRODUCT((DA$3:DA$105=V136)*(DD$3:DD$105=V137)*(DE$3:DE$105="D"))+SUMPRODUCT((DA$3:DA$105=V136)*(DD$3:DD$105=V138)*(DE$3:DE$105="D"))+SUMPRODUCT((DA$3:DA$105=V136)*(DD$3:DD$105=V134)*(DE$3:DE$105="D"))+SUMPRODUCT((DA$3:DA$105=V136)*(DD$3:DD$105=V135)*(DE$3:DE$105="D"))+SUMPRODUCT((DA$3:DA$105=V137)*(DD$3:DD$105=V136)*(DE$3:DE$105="D"))+SUMPRODUCT((DA$3:DA$105=V138)*(DD$3:DD$105=V136)*(DE$3:DE$105="D"))+SUMPRODUCT((DA$3:DA$105=V134)*(DD$3:DD$105=V136)*(DE$3:DE$105="D"))+SUMPRODUCT((DA$3:DA$105=V135)*(DD$3:DD$105=V136)*(DE$3:DE$105="D"))</f>
        <v>0</v>
      </c>
      <c r="Y136" s="231">
        <f>SUMPRODUCT((DA$3:DA$105=V136)*(DD$3:DD$105=V137)*(DE$3:DE$105="L"))+SUMPRODUCT((DA$3:DA$105=V136)*(DD$3:DD$105=V138)*(DE$3:DE$105="L"))+SUMPRODUCT((DA$3:DA$105=V136)*(DD$3:DD$105=V134)*(DE$3:DE$105="L"))+SUMPRODUCT((DA$3:DA$105=V136)*(DD$3:DD$105=V135)*(DE$3:DE$105="L"))+SUMPRODUCT((DA$3:DA$105=V137)*(DD$3:DD$105=V136)*(DF$3:DF$105="L"))+SUMPRODUCT((DA$3:DA$105=V138)*(DD$3:DD$105=V136)*(DF$3:DF$105="L"))+SUMPRODUCT((DA$3:DA$105=V134)*(DD$3:DD$105=V136)*(DF$3:DF$105="L"))+SUMPRODUCT((DA$3:DA$105=V135)*(DD$3:DD$105=V136)*(DF$3:DF$105="L"))</f>
        <v>0</v>
      </c>
      <c r="Z136" s="231">
        <f>SUMPRODUCT((DA$3:DA$105=V136)*(DD$3:DD$105=V137)*DB$3:DB$105)+SUMPRODUCT((DA$3:DA$105=V136)*(DD$3:DD$105=V138)*DB$3:DB$105)+SUMPRODUCT((DA$3:DA$105=V136)*(DD$3:DD$105=V134)*DB$3:DB$105)+SUMPRODUCT((DA$3:DA$105=V136)*(DD$3:DD$105=V135)*DB$3:DB$105)+SUMPRODUCT((DA$3:DA$105=V137)*(DD$3:DD$105=V136)*DC$3:DC$105)+SUMPRODUCT((DA$3:DA$105=V138)*(DD$3:DD$105=V136)*DC$3:DC$105)+SUMPRODUCT((DA$3:DA$105=V134)*(DD$3:DD$105=V136)*DC$3:DC$105)+SUMPRODUCT((DA$3:DA$105=V135)*(DD$3:DD$105=V136)*DC$3:DC$105)</f>
        <v>0</v>
      </c>
      <c r="AA136" s="231">
        <f>SUMPRODUCT((DA$3:DA$105=V136)*(DD$3:DD$105=V137)*DC$3:DC$105)+SUMPRODUCT((DA$3:DA$105=V136)*(DD$3:DD$105=V138)*DC$3:DC$105)+SUMPRODUCT((DA$3:DA$105=V136)*(DD$3:DD$105=V134)*DC$3:DC$105)+SUMPRODUCT((DA$3:DA$105=V136)*(DD$3:DD$105=V135)*DC$3:DC$105)+SUMPRODUCT((DA$3:DA$105=V137)*(DD$3:DD$105=V136)*DB$3:DB$105)+SUMPRODUCT((DA$3:DA$105=V138)*(DD$3:DD$105=V136)*DB$3:DB$105)+SUMPRODUCT((DA$3:DA$105=V134)*(DD$3:DD$105=V136)*DB$3:DB$105)+SUMPRODUCT((DA$3:DA$105=V135)*(DD$3:DD$105=V136)*DB$3:DB$105)</f>
        <v>0</v>
      </c>
      <c r="AB136" s="231">
        <f>Z136-AA136+1000</f>
        <v>1000</v>
      </c>
      <c r="AC136" s="231">
        <f t="shared" si="229"/>
        <v>0</v>
      </c>
      <c r="AD136" s="231">
        <f>IF(V136&lt;&gt;"",VLOOKUP(V136,C$4:I$58,7,FALSE),"")</f>
        <v>1000</v>
      </c>
      <c r="AE136" s="231">
        <f>IF(V136&lt;&gt;"",VLOOKUP(V136,C$4:I$58,5,FALSE),"")</f>
        <v>0</v>
      </c>
      <c r="AF136" s="231">
        <f>IF(V136&lt;&gt;"",VLOOKUP(V136,C$4:K$58,9,FALSE),"")</f>
        <v>-112</v>
      </c>
      <c r="AG136" s="231">
        <f t="shared" si="230"/>
        <v>0</v>
      </c>
      <c r="AH136" s="231">
        <f t="shared" si="231"/>
        <v>1</v>
      </c>
      <c r="AI136" s="231">
        <f>IF(V136&lt;&gt;"",SUMPRODUCT((AG$134:AG$137=AG136)*(AB$134:AB$137&gt;AB136)),"")</f>
        <v>0</v>
      </c>
      <c r="AJ136" s="231">
        <f>IF(V136&lt;&gt;"",SUMPRODUCT((AG$134:AG$137=AG136)*(AB$134:AB$137=AB136)*(Z$134:Z$137&gt;Z136)),"")</f>
        <v>0</v>
      </c>
      <c r="AK136" s="231">
        <f>IF(V136&lt;&gt;"",SUMPRODUCT((AG$134:AG$137=AG136)*(AB$134:AB$137=AB136)*(Z$134:Z$137=Z136)*(AD$134:AD$137&gt;AD136)),"")</f>
        <v>0</v>
      </c>
      <c r="AL136" s="231">
        <f>IF(V136&lt;&gt;"",SUMPRODUCT((AG$134:AG$137=AG136)*(AB$134:AB$137=AB136)*(Z$134:Z$137=Z136)*(AD$134:AD$137=AD136)*(AE$134:AE$137&gt;AE136)),"")</f>
        <v>0</v>
      </c>
      <c r="AM136" s="231">
        <f>IF(V136&lt;&gt;"",SUMPRODUCT((AG$134:AG$137=AG136)*(AB$134:AB$137=AB136)*(Z$134:Z$137=Z136)*(AD$134:AD$137=AD136)*(AE$134:AE$137=AE136)*(AF$134:AF$137&gt;AF136)),"")</f>
        <v>1</v>
      </c>
      <c r="AN136" s="231">
        <f t="shared" si="232"/>
        <v>2</v>
      </c>
      <c r="AO136" s="231" t="str">
        <f>IF(AP57&lt;&gt;"",SUMPRODUCT((AW$55:AW$58=AW57)*(AV$55:AV$58=AV57)*(AT$55:AT$58=AT57)*(AU$55:AU$58=AU57)),"")</f>
        <v/>
      </c>
      <c r="AP136" s="231" t="str">
        <f>IF(AND(AO136&lt;&gt;"",AO136&gt;1),AP57,"")</f>
        <v/>
      </c>
      <c r="AQ136" s="231">
        <f>SUMPRODUCT((DA$3:DA$105=AP136)*(DD$3:DD$105=AP137)*(DE$3:DE$105="W"))+SUMPRODUCT((DA$3:DA$105=AP136)*(DD$3:DD$105=AP138)*(DE$3:DE$105="W"))+SUMPRODUCT((DA$3:DA$105=AP136)*(DD$3:DD$105=AP135)*(DE$3:DE$105="W"))+SUMPRODUCT((DA$3:DA$105=AP137)*(DD$3:DD$105=AP136)*(DF$3:DF$105="W"))+SUMPRODUCT((DA$3:DA$105=AP138)*(DD$3:DD$105=AP136)*(DF$3:DF$105="W"))+SUMPRODUCT((DA$3:DA$105=AP135)*(DD$3:DD$105=AP136)*(DF$3:DF$105="W"))</f>
        <v>0</v>
      </c>
      <c r="AR136" s="231">
        <f>SUMPRODUCT((DA$3:DA$105=AP136)*(DD$3:DD$105=AP137)*(DE$3:DE$105="D"))+SUMPRODUCT((DA$3:DA$105=AP136)*(DD$3:DD$105=AP138)*(DE$3:DE$105="D"))+SUMPRODUCT((DA$3:DA$105=AP136)*(DD$3:DD$105=AP135)*(DE$3:DE$105="D"))+SUMPRODUCT((DA$3:DA$105=AP137)*(DD$3:DD$105=AP136)*(DE$3:DE$105="D"))+SUMPRODUCT((DA$3:DA$105=AP138)*(DD$3:DD$105=AP136)*(DE$3:DE$105="D"))+SUMPRODUCT((DA$3:DA$105=AP135)*(DD$3:DD$105=AP136)*(DE$3:DE$105="D"))</f>
        <v>0</v>
      </c>
      <c r="AS136" s="231">
        <f>SUMPRODUCT((DA$3:DA$105=AP136)*(DD$3:DD$105=AP137)*(DE$3:DE$105="L"))+SUMPRODUCT((DA$3:DA$105=AP136)*(DD$3:DD$105=AP138)*(DE$3:DE$105="L"))+SUMPRODUCT((DA$3:DA$105=AP136)*(DD$3:DD$105=AP135)*(DE$3:DE$105="L"))+SUMPRODUCT((DA$3:DA$105=AP137)*(DD$3:DD$105=AP136)*(DF$3:DF$105="L"))+SUMPRODUCT((DA$3:DA$105=AP138)*(DD$3:DD$105=AP136)*(DF$3:DF$105="L"))+SUMPRODUCT((DA$3:DA$105=AP135)*(DD$3:DD$105=AP136)*(DF$3:DF$105="L"))</f>
        <v>0</v>
      </c>
      <c r="AT136" s="231">
        <f>SUMPRODUCT((DA$3:DA$105=AP136)*(DD$3:DD$105=AP137)*DB$3:DB$105)+SUMPRODUCT((DA$3:DA$105=AP136)*(DD$3:DD$105=AP138)*DB$3:DB$105)+SUMPRODUCT((DA$3:DA$105=AP136)*(DD$3:DD$105=AP134)*DB$3:DB$105)+SUMPRODUCT((DA$3:DA$105=AP136)*(DD$3:DD$105=AP135)*DB$3:DB$105)+SUMPRODUCT((DA$3:DA$105=AP137)*(DD$3:DD$105=AP136)*DC$3:DC$105)+SUMPRODUCT((DA$3:DA$105=AP138)*(DD$3:DD$105=AP136)*DC$3:DC$105)+SUMPRODUCT((DA$3:DA$105=AP134)*(DD$3:DD$105=AP136)*DC$3:DC$105)+SUMPRODUCT((DA$3:DA$105=AP135)*(DD$3:DD$105=AP136)*DC$3:DC$105)</f>
        <v>0</v>
      </c>
      <c r="AU136" s="231">
        <f>SUMPRODUCT((DA$3:DA$105=AP136)*(DD$3:DD$105=AP137)*DC$3:DC$105)+SUMPRODUCT((DA$3:DA$105=AP136)*(DD$3:DD$105=AP138)*DC$3:DC$105)+SUMPRODUCT((DA$3:DA$105=AP136)*(DD$3:DD$105=AP134)*DC$3:DC$105)+SUMPRODUCT((DA$3:DA$105=AP136)*(DD$3:DD$105=AP135)*DC$3:DC$105)+SUMPRODUCT((DA$3:DA$105=AP137)*(DD$3:DD$105=AP136)*DB$3:DB$105)+SUMPRODUCT((DA$3:DA$105=AP138)*(DD$3:DD$105=AP136)*DB$3:DB$105)+SUMPRODUCT((DA$3:DA$105=AP134)*(DD$3:DD$105=AP136)*DB$3:DB$105)+SUMPRODUCT((DA$3:DA$105=AP135)*(DD$3:DD$105=AP136)*DB$3:DB$105)</f>
        <v>0</v>
      </c>
      <c r="AV136" s="231">
        <f>AT136-AU136+1000</f>
        <v>1000</v>
      </c>
      <c r="AW136" s="231" t="str">
        <f t="shared" si="233"/>
        <v/>
      </c>
      <c r="AX136" s="231" t="str">
        <f>IF(AP136&lt;&gt;"",VLOOKUP(AP136,C$4:I$58,7,FALSE),"")</f>
        <v/>
      </c>
      <c r="AY136" s="231" t="str">
        <f>IF(AP136&lt;&gt;"",VLOOKUP(AP136,C$4:I$58,5,FALSE),"")</f>
        <v/>
      </c>
      <c r="AZ136" s="231" t="str">
        <f>IF(AP136&lt;&gt;"",VLOOKUP(AP136,C$4:K$58,9,FALSE),"")</f>
        <v/>
      </c>
      <c r="BA136" s="231" t="str">
        <f t="shared" si="234"/>
        <v/>
      </c>
      <c r="BB136" s="231" t="str">
        <f>IF(AP136&lt;&gt;"",RANK(BA136,BA134:BA137),"")</f>
        <v/>
      </c>
      <c r="BC136" s="231" t="str">
        <f>IF(AP136&lt;&gt;"",SUMPRODUCT((BA134:BA137=BA136)*(AV134:AV137&gt;AV136)),"")</f>
        <v/>
      </c>
      <c r="BD136" s="231" t="str">
        <f>IF(AP136&lt;&gt;"",SUMPRODUCT((BA134:BA137=BA136)*(AV134:AV137=AV136)*(AT134:AT137&gt;AT136)),"")</f>
        <v/>
      </c>
      <c r="BE136" s="231" t="str">
        <f>IF(AP136&lt;&gt;"",SUMPRODUCT((BA134:BA137=BA136)*(AV134:AV137=AV136)*(AT134:AT137=AT136)*(AX134:AX137&gt;AX136)),"")</f>
        <v/>
      </c>
      <c r="BF136" s="231" t="str">
        <f>IF(AP136&lt;&gt;"",SUMPRODUCT((BA134:BA137=BA136)*(AV134:AV137=AV136)*(AT134:AT137=AT136)*(AX134:AX137=AX136)*(AY134:AY137&gt;AY136)),"")</f>
        <v/>
      </c>
      <c r="BG136" s="231" t="str">
        <f>IF(AP136&lt;&gt;"",SUMPRODUCT((BA134:BA137=BA136)*(AV134:AV137=AV136)*(AT134:AT137=AT136)*(AX134:AX137=AX136)*(AY134:AY137=AY136)*(AZ134:AZ137&gt;AZ136)),"")</f>
        <v/>
      </c>
      <c r="BH136" s="231" t="str">
        <f t="shared" ref="BH136:BH137" si="235">IF(AP136&lt;&gt;"",SUM(BB136:BG136)+1,"")</f>
        <v/>
      </c>
      <c r="DX136" s="230"/>
      <c r="DY136" s="230"/>
      <c r="DZ136" s="230"/>
      <c r="EA136" s="237"/>
      <c r="EB136" s="230"/>
      <c r="EC136" s="230"/>
    </row>
    <row r="137" spans="10:133" x14ac:dyDescent="0.25">
      <c r="J137" s="231">
        <f>IF(COUNTIF(J$55:J$58,4)=4,1,SUMPRODUCT((J$55:J$58=J58)*(I$55:I$58=I58)*(G$55:G$58&gt;G58))+1)</f>
        <v>1</v>
      </c>
      <c r="U137" s="231">
        <f>IF(V58&lt;&gt;"",SUMPRODUCT((AC$55:AC$58=AC58)*(AB$55:AB$58=AB58)*(Z$55:Z$58=Z58)*(AA$55:AA$58=AA58)),"")</f>
        <v>4</v>
      </c>
      <c r="V137" s="231" t="str">
        <f>IF(AND(U137&lt;&gt;"",U137&gt;1),V58,"")</f>
        <v>France</v>
      </c>
      <c r="W137" s="231">
        <f>SUMPRODUCT((DA$3:DA$105=V137)*(DD$3:DD$105=V138)*(DE$3:DE$105="W"))+SUMPRODUCT((DA$3:DA$105=V137)*(DD$3:DD$105=V134)*(DE$3:DE$105="W"))+SUMPRODUCT((DA$3:DA$105=V137)*(DD$3:DD$105=V135)*(DE$3:DE$105="W"))+SUMPRODUCT((DA$3:DA$105=V137)*(DD$3:DD$105=V136)*(DE$3:DE$105="W"))+SUMPRODUCT((DA$3:DA$105=V138)*(DD$3:DD$105=V137)*(DF$3:DF$105="W"))+SUMPRODUCT((DA$3:DA$105=V134)*(DD$3:DD$105=V137)*(DF$3:DF$105="W"))+SUMPRODUCT((DA$3:DA$105=V135)*(DD$3:DD$105=V137)*(DF$3:DF$105="W"))+SUMPRODUCT((DA$3:DA$105=V136)*(DD$3:DD$105=V137)*(DF$3:DF$105="W"))</f>
        <v>0</v>
      </c>
      <c r="X137" s="231">
        <f>SUMPRODUCT((DA$3:DA$105=V137)*(DD$3:DD$105=V138)*(DE$3:DE$105="D"))+SUMPRODUCT((DA$3:DA$105=V137)*(DD$3:DD$105=V134)*(DE$3:DE$105="D"))+SUMPRODUCT((DA$3:DA$105=V137)*(DD$3:DD$105=V135)*(DE$3:DE$105="D"))+SUMPRODUCT((DA$3:DA$105=V137)*(DD$3:DD$105=V136)*(DE$3:DE$105="D"))+SUMPRODUCT((DA$3:DA$105=V138)*(DD$3:DD$105=V137)*(DE$3:DE$105="D"))+SUMPRODUCT((DA$3:DA$105=V134)*(DD$3:DD$105=V137)*(DE$3:DE$105="D"))+SUMPRODUCT((DA$3:DA$105=V135)*(DD$3:DD$105=V137)*(DE$3:DE$105="D"))+SUMPRODUCT((DA$3:DA$105=V136)*(DD$3:DD$105=V137)*(DE$3:DE$105="D"))</f>
        <v>0</v>
      </c>
      <c r="Y137" s="231">
        <f>SUMPRODUCT((DA$3:DA$105=V137)*(DD$3:DD$105=V138)*(DE$3:DE$105="L"))+SUMPRODUCT((DA$3:DA$105=V137)*(DD$3:DD$105=V134)*(DE$3:DE$105="L"))+SUMPRODUCT((DA$3:DA$105=V137)*(DD$3:DD$105=V135)*(DE$3:DE$105="L"))+SUMPRODUCT((DA$3:DA$105=V137)*(DD$3:DD$105=V136)*(DE$3:DE$105="L"))+SUMPRODUCT((DA$3:DA$105=V138)*(DD$3:DD$105=V137)*(DF$3:DF$105="L"))+SUMPRODUCT((DA$3:DA$105=V134)*(DD$3:DD$105=V137)*(DF$3:DF$105="L"))+SUMPRODUCT((DA$3:DA$105=V135)*(DD$3:DD$105=V137)*(DF$3:DF$105="L"))+SUMPRODUCT((DA$3:DA$105=V136)*(DD$3:DD$105=V137)*(DF$3:DF$105="L"))</f>
        <v>0</v>
      </c>
      <c r="Z137" s="231">
        <f>SUMPRODUCT((DA$3:DA$105=V137)*(DD$3:DD$105=V138)*DB$3:DB$105)+SUMPRODUCT((DA$3:DA$105=V137)*(DD$3:DD$105=V134)*DB$3:DB$105)+SUMPRODUCT((DA$3:DA$105=V137)*(DD$3:DD$105=V135)*DB$3:DB$105)+SUMPRODUCT((DA$3:DA$105=V137)*(DD$3:DD$105=V136)*DB$3:DB$105)+SUMPRODUCT((DA$3:DA$105=V138)*(DD$3:DD$105=V137)*DC$3:DC$105)+SUMPRODUCT((DA$3:DA$105=V134)*(DD$3:DD$105=V137)*DC$3:DC$105)+SUMPRODUCT((DA$3:DA$105=V135)*(DD$3:DD$105=V137)*DC$3:DC$105)+SUMPRODUCT((DA$3:DA$105=V136)*(DD$3:DD$105=V137)*DC$3:DC$105)</f>
        <v>0</v>
      </c>
      <c r="AA137" s="231">
        <f>SUMPRODUCT((DA$3:DA$105=V137)*(DD$3:DD$105=V138)*DC$3:DC$105)+SUMPRODUCT((DA$3:DA$105=V137)*(DD$3:DD$105=V134)*DC$3:DC$105)+SUMPRODUCT((DA$3:DA$105=V137)*(DD$3:DD$105=V135)*DC$3:DC$105)+SUMPRODUCT((DA$3:DA$105=V137)*(DD$3:DD$105=V136)*DC$3:DC$105)+SUMPRODUCT((DA$3:DA$105=V138)*(DD$3:DD$105=V137)*DB$3:DB$105)+SUMPRODUCT((DA$3:DA$105=V134)*(DD$3:DD$105=V137)*DB$3:DB$105)+SUMPRODUCT((DA$3:DA$105=V135)*(DD$3:DD$105=V137)*DB$3:DB$105)+SUMPRODUCT((DA$3:DA$105=V136)*(DD$3:DD$105=V137)*DB$3:DB$105)</f>
        <v>0</v>
      </c>
      <c r="AB137" s="231">
        <f>Z137-AA137+1000</f>
        <v>1000</v>
      </c>
      <c r="AC137" s="231">
        <f t="shared" si="229"/>
        <v>0</v>
      </c>
      <c r="AD137" s="231">
        <f>IF(V137&lt;&gt;"",VLOOKUP(V137,C$4:I$58,7,FALSE),"")</f>
        <v>1000</v>
      </c>
      <c r="AE137" s="231">
        <f>IF(V137&lt;&gt;"",VLOOKUP(V137,C$4:I$58,5,FALSE),"")</f>
        <v>0</v>
      </c>
      <c r="AF137" s="231">
        <f>IF(V137&lt;&gt;"",VLOOKUP(V137,C$4:K$58,9,FALSE),"")</f>
        <v>-103</v>
      </c>
      <c r="AG137" s="231">
        <f t="shared" si="230"/>
        <v>0</v>
      </c>
      <c r="AH137" s="231">
        <f t="shared" si="231"/>
        <v>1</v>
      </c>
      <c r="AI137" s="231">
        <f>IF(V137&lt;&gt;"",SUMPRODUCT((AG$134:AG$137=AG137)*(AB$134:AB$137&gt;AB137)),"")</f>
        <v>0</v>
      </c>
      <c r="AJ137" s="231">
        <f>IF(V137&lt;&gt;"",SUMPRODUCT((AG$134:AG$137=AG137)*(AB$134:AB$137=AB137)*(Z$134:Z$137&gt;Z137)),"")</f>
        <v>0</v>
      </c>
      <c r="AK137" s="231">
        <f>IF(V137&lt;&gt;"",SUMPRODUCT((AG$134:AG$137=AG137)*(AB$134:AB$137=AB137)*(Z$134:Z$137=Z137)*(AD$134:AD$137&gt;AD137)),"")</f>
        <v>0</v>
      </c>
      <c r="AL137" s="231">
        <f>IF(V137&lt;&gt;"",SUMPRODUCT((AG$134:AG$137=AG137)*(AB$134:AB$137=AB137)*(Z$134:Z$137=Z137)*(AD$134:AD$137=AD137)*(AE$134:AE$137&gt;AE137)),"")</f>
        <v>0</v>
      </c>
      <c r="AM137" s="231">
        <f>IF(V137&lt;&gt;"",SUMPRODUCT((AG$134:AG$137=AG137)*(AB$134:AB$137=AB137)*(Z$134:Z$137=Z137)*(AD$134:AD$137=AD137)*(AE$134:AE$137=AE137)*(AF$134:AF$137&gt;AF137)),"")</f>
        <v>0</v>
      </c>
      <c r="AN137" s="231">
        <f t="shared" si="232"/>
        <v>1</v>
      </c>
      <c r="AO137" s="231" t="str">
        <f>IF(AP58&lt;&gt;"",SUMPRODUCT((AW$55:AW$58=AW58)*(AV$55:AV$58=AV58)*(AT$55:AT$58=AT58)*(AU$55:AU$58=AU58)),"")</f>
        <v/>
      </c>
      <c r="AP137" s="231" t="str">
        <f>IF(AND(AO137&lt;&gt;"",AO137&gt;1),AP58,"")</f>
        <v/>
      </c>
      <c r="AQ137" s="231" t="str">
        <f>IF(AP137&lt;&gt;"",SUMPRODUCT((DA$3:DA$105=AP137)*(DD$3:DD$105=AP138)*(DE$3:DE$105="W"))+SUMPRODUCT((DA$3:DA$105=AP137)*(DD$3:DD$105=AP135)*(DE$3:DE$105="W"))+SUMPRODUCT((DA$3:DA$105=AP137)*(DD$3:DD$105=AP136)*(DE$3:DE$105="W"))+SUMPRODUCT((DA$3:DA$105=AP138)*(DD$3:DD$105=AP137)*(DF$3:DF$105="W"))+SUMPRODUCT((DA$3:DA$105=AP135)*(DD$3:DD$105=AP137)*(DF$3:DF$105="W"))+SUMPRODUCT((DA$3:DA$105=AP136)*(DD$3:DD$105=AP137)*(DF$3:DF$105="W")),"")</f>
        <v/>
      </c>
      <c r="AR137" s="231" t="str">
        <f>IF(AP137&lt;&gt;"",SUMPRODUCT((DA$3:DA$105=AP137)*(DD$3:DD$105=AP138)*(DE$3:DE$105="D"))+SUMPRODUCT((DA$3:DA$105=AP137)*(DD$3:DD$105=AP135)*(DE$3:DE$105="D"))+SUMPRODUCT((DA$3:DA$105=AP137)*(DD$3:DD$105=AP136)*(DE$3:DE$105="D"))+SUMPRODUCT((DA$3:DA$105=AP138)*(DD$3:DD$105=AP137)*(DE$3:DE$105="D"))+SUMPRODUCT((DA$3:DA$105=AP135)*(DD$3:DD$105=AP137)*(DE$3:DE$105="D"))+SUMPRODUCT((DA$3:DA$105=AP136)*(DD$3:DD$105=AP137)*(DE$3:DE$105="D")),"")</f>
        <v/>
      </c>
      <c r="AS137" s="231" t="str">
        <f>IF(AP137&lt;&gt;"",SUMPRODUCT((DA$3:DA$105=AP137)*(DD$3:DD$105=AP138)*(DE$3:DE$105="L"))+SUMPRODUCT((DA$3:DA$105=AP137)*(DD$3:DD$105=AP135)*(DE$3:DE$105="L"))+SUMPRODUCT((DA$3:DA$105=AP137)*(DD$3:DD$105=AP136)*(DE$3:DE$105="L"))+SUMPRODUCT((DA$3:DA$105=AP138)*(DD$3:DD$105=AP137)*(DF$3:DF$105="L"))+SUMPRODUCT((DA$3:DA$105=AP135)*(DD$3:DD$105=AP137)*(DF$3:DF$105="L"))+SUMPRODUCT((DA$3:DA$105=AP136)*(DD$3:DD$105=AP137)*(DF$3:DF$105="L")),"")</f>
        <v/>
      </c>
      <c r="AT137" s="231">
        <f>SUMPRODUCT((DA$3:DA$105=AP137)*(DD$3:DD$105=AP138)*DB$3:DB$105)+SUMPRODUCT((DA$3:DA$105=AP137)*(DD$3:DD$105=AP134)*DB$3:DB$105)+SUMPRODUCT((DA$3:DA$105=AP137)*(DD$3:DD$105=AP135)*DB$3:DB$105)+SUMPRODUCT((DA$3:DA$105=AP137)*(DD$3:DD$105=AP136)*DB$3:DB$105)+SUMPRODUCT((DA$3:DA$105=AP138)*(DD$3:DD$105=AP137)*DC$3:DC$105)+SUMPRODUCT((DA$3:DA$105=AP134)*(DD$3:DD$105=AP137)*DC$3:DC$105)+SUMPRODUCT((DA$3:DA$105=AP135)*(DD$3:DD$105=AP137)*DC$3:DC$105)+SUMPRODUCT((DA$3:DA$105=AP136)*(DD$3:DD$105=AP137)*DC$3:DC$105)</f>
        <v>0</v>
      </c>
      <c r="AU137" s="231">
        <f>SUMPRODUCT((DA$3:DA$105=AP137)*(DD$3:DD$105=AP138)*DC$3:DC$105)+SUMPRODUCT((DA$3:DA$105=AP137)*(DD$3:DD$105=AP134)*DC$3:DC$105)+SUMPRODUCT((DA$3:DA$105=AP137)*(DD$3:DD$105=AP135)*DC$3:DC$105)+SUMPRODUCT((DA$3:DA$105=AP137)*(DD$3:DD$105=AP136)*DC$3:DC$105)+SUMPRODUCT((DA$3:DA$105=AP138)*(DD$3:DD$105=AP137)*DB$3:DB$105)+SUMPRODUCT((DA$3:DA$105=AP134)*(DD$3:DD$105=AP137)*DB$3:DB$105)+SUMPRODUCT((DA$3:DA$105=AP135)*(DD$3:DD$105=AP137)*DB$3:DB$105)+SUMPRODUCT((DA$3:DA$105=AP136)*(DD$3:DD$105=AP137)*DB$3:DB$105)</f>
        <v>0</v>
      </c>
      <c r="AV137" s="231">
        <f>AT137-AU137+1000</f>
        <v>1000</v>
      </c>
      <c r="AW137" s="231" t="str">
        <f t="shared" si="233"/>
        <v/>
      </c>
      <c r="AX137" s="231" t="str">
        <f>IF(AP137&lt;&gt;"",VLOOKUP(AP137,C$4:I$58,7,FALSE),"")</f>
        <v/>
      </c>
      <c r="AY137" s="231" t="str">
        <f>IF(AP137&lt;&gt;"",VLOOKUP(AP137,C$4:I$58,5,FALSE),"")</f>
        <v/>
      </c>
      <c r="AZ137" s="231" t="str">
        <f>IF(AP137&lt;&gt;"",VLOOKUP(AP137,C$4:K$58,9,FALSE),"")</f>
        <v/>
      </c>
      <c r="BA137" s="231" t="str">
        <f t="shared" si="234"/>
        <v/>
      </c>
      <c r="BB137" s="231" t="str">
        <f>IF(AP137&lt;&gt;"",RANK(BA137,BA134:BA137),"")</f>
        <v/>
      </c>
      <c r="BC137" s="231" t="str">
        <f>IF(AP137&lt;&gt;"",SUMPRODUCT((BA134:BA137=BA137)*(AV134:AV137&gt;AV137)),"")</f>
        <v/>
      </c>
      <c r="BD137" s="231" t="str">
        <f>IF(AP137&lt;&gt;"",SUMPRODUCT((BA134:BA137=BA137)*(AV134:AV137=AV137)*(AT134:AT137&gt;AT137)),"")</f>
        <v/>
      </c>
      <c r="BE137" s="231" t="str">
        <f>IF(AP137&lt;&gt;"",SUMPRODUCT((BA134:BA137=BA137)*(AV134:AV137=AV137)*(AT134:AT137=AT137)*(AX134:AX137&gt;AX137)),"")</f>
        <v/>
      </c>
      <c r="BF137" s="231" t="str">
        <f>IF(AP137&lt;&gt;"",SUMPRODUCT((BA134:BA137=BA137)*(AV134:AV137=AV137)*(AT134:AT137=AT137)*(AX134:AX137=AX137)*(AY134:AY137&gt;AY137)),"")</f>
        <v/>
      </c>
      <c r="BG137" s="231" t="str">
        <f>IF(AP137&lt;&gt;"",SUMPRODUCT((BA134:BA137=BA137)*(AV134:AV137=AV137)*(AT134:AT137=AT137)*(AX134:AX137=AX137)*(AY134:AY137=AY137)*(AZ134:AZ137&gt;AZ137)),"")</f>
        <v/>
      </c>
      <c r="BH137" s="231" t="str">
        <f t="shared" si="235"/>
        <v/>
      </c>
      <c r="DX137" s="230"/>
      <c r="DY137" s="230"/>
      <c r="DZ137" s="230"/>
      <c r="EA137" s="237"/>
      <c r="EB137" s="230"/>
      <c r="EC137" s="230"/>
    </row>
    <row r="138" spans="10:133" x14ac:dyDescent="0.25">
      <c r="DX138" s="230"/>
      <c r="DY138" s="230"/>
      <c r="DZ138" s="230"/>
      <c r="EA138" s="237"/>
      <c r="EB138" s="230"/>
      <c r="EC138" s="230"/>
    </row>
    <row r="139" spans="10:133" x14ac:dyDescent="0.25">
      <c r="U139" s="231">
        <f>IF(V140="",SUM(AH61:AM61),IF(V141="",SUM(AH62:AM62),IF(V142="",SUM(AH63:AM63),IF(V143="",SUM(AH64:AM64),0))))</f>
        <v>0</v>
      </c>
      <c r="AO139" s="231">
        <f>IF(AP141="",SUM(BB62:BG62),IF(AP142="",SUM(BB63:BG63),IF(AP143="",SUM(BB64:BG64),0)))</f>
        <v>0</v>
      </c>
      <c r="DX139" s="230"/>
      <c r="DY139" s="230"/>
      <c r="DZ139" s="230"/>
      <c r="EA139" s="237"/>
      <c r="EB139" s="230"/>
      <c r="EC139" s="230"/>
    </row>
    <row r="140" spans="10:133" x14ac:dyDescent="0.25">
      <c r="J140" s="231">
        <f>IF(COUNTIF(J$61:J$64,4)=4,1,SUMPRODUCT((J$61:J$64=J61)*(I$61:I$64=I61)*(G$61:G$64&gt;G61))+1)</f>
        <v>1</v>
      </c>
      <c r="U140" s="231">
        <f>IF(V61&lt;&gt;"",SUMPRODUCT((AC$61:AC$64=AC61)*(AB$61:AB$64=AB61)*(Z$61:Z$64=Z61)*(AA$61:AA$64=AA61)),"")</f>
        <v>4</v>
      </c>
      <c r="V140" s="231" t="str">
        <f>IF(AND(U140&lt;&gt;"",U140&gt;1),V61,"")</f>
        <v>Jordan</v>
      </c>
      <c r="W140" s="231">
        <f>SUMPRODUCT((DA$3:DA$105=V140)*(DD$3:DD$105=V141)*(DE$3:DE$105="W"))+SUMPRODUCT((DA$3:DA$105=V140)*(DD$3:DD$105=V142)*(DE$3:DE$105="W"))+SUMPRODUCT((DA$3:DA$105=V140)*(DD$3:DD$105=V143)*(DE$3:DE$105="W"))+SUMPRODUCT((DA$3:DA$105=V140)*(DD$3:DD$105=V144)*(DE$3:DE$105="W"))+SUMPRODUCT((DA$3:DA$105=V141)*(DD$3:DD$105=V140)*(DF$3:DF$105="W"))+SUMPRODUCT((DA$3:DA$105=V142)*(DD$3:DD$105=V140)*(DF$3:DF$105="W"))+SUMPRODUCT((DA$3:DA$105=V143)*(DD$3:DD$105=V140)*(DF$3:DF$105="W"))+SUMPRODUCT((DA$3:DA$105=V144)*(DD$3:DD$105=V140)*(DF$3:DF$105="W"))</f>
        <v>0</v>
      </c>
      <c r="X140" s="231">
        <f>SUMPRODUCT((DA$3:DA$105=V140)*(DD$3:DD$105=V141)*(DE$3:DE$105="D"))+SUMPRODUCT((DA$3:DA$105=V140)*(DD$3:DD$105=V142)*(DE$3:DE$105="D"))+SUMPRODUCT((DA$3:DA$105=V140)*(DD$3:DD$105=V143)*(DE$3:DE$105="D"))+SUMPRODUCT((DA$3:DA$105=V140)*(DD$3:DD$105=V144)*(DE$3:DE$105="D"))+SUMPRODUCT((DA$3:DA$105=V141)*(DD$3:DD$105=V140)*(DE$3:DE$105="D"))+SUMPRODUCT((DA$3:DA$105=V142)*(DD$3:DD$105=V140)*(DE$3:DE$105="D"))+SUMPRODUCT((DA$3:DA$105=V143)*(DD$3:DD$105=V140)*(DE$3:DE$105="D"))+SUMPRODUCT((DA$3:DA$105=V144)*(DD$3:DD$105=V140)*(DE$3:DE$105="D"))</f>
        <v>0</v>
      </c>
      <c r="Y140" s="231">
        <f>SUMPRODUCT((DA$3:DA$105=V140)*(DD$3:DD$105=V141)*(DE$3:DE$105="L"))+SUMPRODUCT((DA$3:DA$105=V140)*(DD$3:DD$105=V142)*(DE$3:DE$105="L"))+SUMPRODUCT((DA$3:DA$105=V140)*(DD$3:DD$105=V143)*(DE$3:DE$105="L"))+SUMPRODUCT((DA$3:DA$105=V140)*(DD$3:DD$105=V144)*(DE$3:DE$105="L"))+SUMPRODUCT((DA$3:DA$105=V141)*(DD$3:DD$105=V140)*(DF$3:DF$105="L"))+SUMPRODUCT((DA$3:DA$105=V142)*(DD$3:DD$105=V140)*(DF$3:DF$105="L"))+SUMPRODUCT((DA$3:DA$105=V143)*(DD$3:DD$105=V140)*(DF$3:DF$105="L"))+SUMPRODUCT((DA$3:DA$105=V144)*(DD$3:DD$105=V140)*(DF$3:DF$105="L"))</f>
        <v>0</v>
      </c>
      <c r="Z140" s="231">
        <f>SUMPRODUCT((DA$3:DA$105=V140)*(DD$3:DD$105=V141)*DB$3:DB$105)+SUMPRODUCT((DA$3:DA$105=V140)*(DD$3:DD$105=V142)*DB$3:DB$105)+SUMPRODUCT((DA$3:DA$105=V140)*(DD$3:DD$105=V143)*DB$3:DB$105)+SUMPRODUCT((DA$3:DA$105=V140)*(DD$3:DD$105=V144)*DB$3:DB$105)+SUMPRODUCT((DA$3:DA$105=V141)*(DD$3:DD$105=V140)*DC$3:DC$105)+SUMPRODUCT((DA$3:DA$105=V142)*(DD$3:DD$105=V140)*DC$3:DC$105)+SUMPRODUCT((DA$3:DA$105=V143)*(DD$3:DD$105=V140)*DC$3:DC$105)+SUMPRODUCT((DA$3:DA$105=V144)*(DD$3:DD$105=V140)*DC$3:DC$105)</f>
        <v>0</v>
      </c>
      <c r="AA140" s="231">
        <f>SUMPRODUCT((DA$3:DA$105=V140)*(DD$3:DD$105=V141)*DC$3:DC$105)+SUMPRODUCT((DA$3:DA$105=V140)*(DD$3:DD$105=V142)*DC$3:DC$105)+SUMPRODUCT((DA$3:DA$105=V140)*(DD$3:DD$105=V143)*DC$3:DC$105)+SUMPRODUCT((DA$3:DA$105=V140)*(DD$3:DD$105=V144)*DC$3:DC$105)+SUMPRODUCT((DA$3:DA$105=V141)*(DD$3:DD$105=V140)*DB$3:DB$105)+SUMPRODUCT((DA$3:DA$105=V142)*(DD$3:DD$105=V140)*DB$3:DB$105)+SUMPRODUCT((DA$3:DA$105=V143)*(DD$3:DD$105=V140)*DB$3:DB$105)+SUMPRODUCT((DA$3:DA$105=V144)*(DD$3:DD$105=V140)*DB$3:DB$105)</f>
        <v>0</v>
      </c>
      <c r="AB140" s="231">
        <f>Z140-AA140+1000</f>
        <v>1000</v>
      </c>
      <c r="AC140" s="231">
        <f>IF(V140&lt;&gt;"",W140*3+X140*1,"")</f>
        <v>0</v>
      </c>
      <c r="AD140" s="231">
        <f>IF(V140&lt;&gt;"",VLOOKUP(V140,C$4:I$64,7,FALSE),"")</f>
        <v>1000</v>
      </c>
      <c r="AE140" s="231">
        <f>IF(V140&lt;&gt;"",VLOOKUP(V140,C$4:I$64,5,FALSE),"")</f>
        <v>0</v>
      </c>
      <c r="AF140" s="231">
        <f>IF(V140&lt;&gt;"",VLOOKUP(V140,C$4:K$64,9,FALSE),"")</f>
        <v>-164</v>
      </c>
      <c r="AG140" s="231">
        <f>AC140</f>
        <v>0</v>
      </c>
      <c r="AH140" s="231">
        <f>IF(V140&lt;&gt;"",RANK(AG140,AG$140:AG$143),"")</f>
        <v>1</v>
      </c>
      <c r="AI140" s="231">
        <f>IF(V140&lt;&gt;"",SUMPRODUCT((AG$140:AG$143=AG140)*(AB$140:AB$143&gt;AB140)),"")</f>
        <v>0</v>
      </c>
      <c r="AJ140" s="231">
        <f>IF(V140&lt;&gt;"",SUMPRODUCT((AG$140:AG$143=AG140)*(AB$140:AB$143=AB140)*(Z$140:Z$143&gt;Z140)),"")</f>
        <v>0</v>
      </c>
      <c r="AK140" s="231">
        <f>IF(V140&lt;&gt;"",SUMPRODUCT((AG$140:AG$143=AG140)*(AB$140:AB$143=AB140)*(Z$140:Z$143=Z140)*(AD$140:AD$143&gt;AD140)),"")</f>
        <v>0</v>
      </c>
      <c r="AL140" s="231">
        <f>IF(V140&lt;&gt;"",SUMPRODUCT((AG$140:AG$143=AG140)*(AB$140:AB$143=AB140)*(Z$140:Z$143=Z140)*(AD$140:AD$143=AD140)*(AE$140:AE$143&gt;AE140)),"")</f>
        <v>0</v>
      </c>
      <c r="AM140" s="231">
        <f>IF(V140&lt;&gt;"",SUMPRODUCT((AG$140:AG$143=AG140)*(AB$140:AB$143=AB140)*(Z$140:Z$143=Z140)*(AD$140:AD$143=AD140)*(AE$140:AE$143=AE140)*(AF$140:AF$143&gt;AF140)),"")</f>
        <v>3</v>
      </c>
      <c r="AN140" s="231">
        <f>IF(V140&lt;&gt;"",SUM(AH140:AM140),"")</f>
        <v>4</v>
      </c>
      <c r="DX140" s="230"/>
      <c r="DY140" s="230"/>
      <c r="DZ140" s="230"/>
      <c r="EA140" s="237"/>
      <c r="EB140" s="230"/>
      <c r="EC140" s="230"/>
    </row>
    <row r="141" spans="10:133" x14ac:dyDescent="0.25">
      <c r="J141" s="231">
        <f>IF(COUNTIF(J$61:J$64,4)=4,1,SUMPRODUCT((J$61:J$64=J62)*(I$61:I$64=I62)*(G$61:G$64&gt;G62))+1)</f>
        <v>1</v>
      </c>
      <c r="U141" s="231">
        <f>IF(V62&lt;&gt;"",SUMPRODUCT((AC$61:AC$64=AC62)*(AB$61:AB$64=AB62)*(Z$61:Z$64=Z62)*(AA$61:AA$64=AA62)),"")</f>
        <v>4</v>
      </c>
      <c r="V141" s="231" t="str">
        <f>IF(AND(U141&lt;&gt;"",U141&gt;1),V62,"")</f>
        <v>Algeria</v>
      </c>
      <c r="W141" s="231">
        <f>SUMPRODUCT((DA$3:DA$105=V141)*(DD$3:DD$105=V142)*(DE$3:DE$105="W"))+SUMPRODUCT((DA$3:DA$105=V141)*(DD$3:DD$105=V143)*(DE$3:DE$105="W"))+SUMPRODUCT((DA$3:DA$105=V141)*(DD$3:DD$105=V144)*(DE$3:DE$105="W"))+SUMPRODUCT((DA$3:DA$105=V141)*(DD$3:DD$105=V140)*(DE$3:DE$105="W"))+SUMPRODUCT((DA$3:DA$105=V142)*(DD$3:DD$105=V141)*(DF$3:DF$105="W"))+SUMPRODUCT((DA$3:DA$105=V143)*(DD$3:DD$105=V141)*(DF$3:DF$105="W"))+SUMPRODUCT((DA$3:DA$105=V144)*(DD$3:DD$105=V141)*(DF$3:DF$105="W"))+SUMPRODUCT((DA$3:DA$105=V140)*(DD$3:DD$105=V141)*(DF$3:DF$105="W"))</f>
        <v>0</v>
      </c>
      <c r="X141" s="231">
        <f>SUMPRODUCT((DA$3:DA$105=V141)*(DD$3:DD$105=V142)*(DE$3:DE$105="D"))+SUMPRODUCT((DA$3:DA$105=V141)*(DD$3:DD$105=V143)*(DE$3:DE$105="D"))+SUMPRODUCT((DA$3:DA$105=V141)*(DD$3:DD$105=V144)*(DE$3:DE$105="D"))+SUMPRODUCT((DA$3:DA$105=V141)*(DD$3:DD$105=V140)*(DE$3:DE$105="D"))+SUMPRODUCT((DA$3:DA$105=V142)*(DD$3:DD$105=V141)*(DE$3:DE$105="D"))+SUMPRODUCT((DA$3:DA$105=V143)*(DD$3:DD$105=V141)*(DE$3:DE$105="D"))+SUMPRODUCT((DA$3:DA$105=V144)*(DD$3:DD$105=V141)*(DE$3:DE$105="D"))+SUMPRODUCT((DA$3:DA$105=V140)*(DD$3:DD$105=V141)*(DE$3:DE$105="D"))</f>
        <v>0</v>
      </c>
      <c r="Y141" s="231">
        <f>SUMPRODUCT((DA$3:DA$105=V141)*(DD$3:DD$105=V142)*(DE$3:DE$105="L"))+SUMPRODUCT((DA$3:DA$105=V141)*(DD$3:DD$105=V143)*(DE$3:DE$105="L"))+SUMPRODUCT((DA$3:DA$105=V141)*(DD$3:DD$105=V144)*(DE$3:DE$105="L"))+SUMPRODUCT((DA$3:DA$105=V141)*(DD$3:DD$105=V140)*(DE$3:DE$105="L"))+SUMPRODUCT((DA$3:DA$105=V142)*(DD$3:DD$105=V141)*(DF$3:DF$105="L"))+SUMPRODUCT((DA$3:DA$105=V143)*(DD$3:DD$105=V141)*(DF$3:DF$105="L"))+SUMPRODUCT((DA$3:DA$105=V144)*(DD$3:DD$105=V141)*(DF$3:DF$105="L"))+SUMPRODUCT((DA$3:DA$105=V140)*(DD$3:DD$105=V141)*(DF$3:DF$105="L"))</f>
        <v>0</v>
      </c>
      <c r="Z141" s="231">
        <f>SUMPRODUCT((DA$3:DA$105=V141)*(DD$3:DD$105=V142)*DB$3:DB$105)+SUMPRODUCT((DA$3:DA$105=V141)*(DD$3:DD$105=V143)*DB$3:DB$105)+SUMPRODUCT((DA$3:DA$105=V141)*(DD$3:DD$105=V144)*DB$3:DB$105)+SUMPRODUCT((DA$3:DA$105=V141)*(DD$3:DD$105=V140)*DB$3:DB$105)+SUMPRODUCT((DA$3:DA$105=V142)*(DD$3:DD$105=V141)*DC$3:DC$105)+SUMPRODUCT((DA$3:DA$105=V143)*(DD$3:DD$105=V141)*DC$3:DC$105)+SUMPRODUCT((DA$3:DA$105=V144)*(DD$3:DD$105=V141)*DC$3:DC$105)+SUMPRODUCT((DA$3:DA$105=V140)*(DD$3:DD$105=V141)*DC$3:DC$105)</f>
        <v>0</v>
      </c>
      <c r="AA141" s="231">
        <f>SUMPRODUCT((DA$3:DA$105=V141)*(DD$3:DD$105=V142)*DC$3:DC$105)+SUMPRODUCT((DA$3:DA$105=V141)*(DD$3:DD$105=V143)*DC$3:DC$105)+SUMPRODUCT((DA$3:DA$105=V141)*(DD$3:DD$105=V144)*DC$3:DC$105)+SUMPRODUCT((DA$3:DA$105=V141)*(DD$3:DD$105=V140)*DC$3:DC$105)+SUMPRODUCT((DA$3:DA$105=V142)*(DD$3:DD$105=V141)*DB$3:DB$105)+SUMPRODUCT((DA$3:DA$105=V143)*(DD$3:DD$105=V141)*DB$3:DB$105)+SUMPRODUCT((DA$3:DA$105=V144)*(DD$3:DD$105=V141)*DB$3:DB$105)+SUMPRODUCT((DA$3:DA$105=V140)*(DD$3:DD$105=V141)*DB$3:DB$105)</f>
        <v>0</v>
      </c>
      <c r="AB141" s="231">
        <f>Z141-AA141+1000</f>
        <v>1000</v>
      </c>
      <c r="AC141" s="231">
        <f t="shared" ref="AC141:AC143" si="236">IF(V141&lt;&gt;"",W141*3+X141*1,"")</f>
        <v>0</v>
      </c>
      <c r="AD141" s="231">
        <f>IF(V141&lt;&gt;"",VLOOKUP(V141,C$4:I$64,7,FALSE),"")</f>
        <v>1000</v>
      </c>
      <c r="AE141" s="231">
        <f>IF(V141&lt;&gt;"",VLOOKUP(V141,C$4:I$64,5,FALSE),"")</f>
        <v>0</v>
      </c>
      <c r="AF141" s="231">
        <f>IF(V141&lt;&gt;"",VLOOKUP(V141,C$4:K$64,9,FALSE),"")</f>
        <v>-128</v>
      </c>
      <c r="AG141" s="231">
        <f t="shared" ref="AG141:AG143" si="237">AC141</f>
        <v>0</v>
      </c>
      <c r="AH141" s="231">
        <f t="shared" ref="AH141:AH143" si="238">IF(V141&lt;&gt;"",RANK(AG141,AG$140:AG$143),"")</f>
        <v>1</v>
      </c>
      <c r="AI141" s="231">
        <f>IF(V141&lt;&gt;"",SUMPRODUCT((AG$140:AG$143=AG141)*(AB$140:AB$143&gt;AB141)),"")</f>
        <v>0</v>
      </c>
      <c r="AJ141" s="231">
        <f>IF(V141&lt;&gt;"",SUMPRODUCT((AG$140:AG$143=AG141)*(AB$140:AB$143=AB141)*(Z$140:Z$143&gt;Z141)),"")</f>
        <v>0</v>
      </c>
      <c r="AK141" s="231">
        <f>IF(V141&lt;&gt;"",SUMPRODUCT((AG$140:AG$143=AG141)*(AB$140:AB$143=AB141)*(Z$140:Z$143=Z141)*(AD$140:AD$143&gt;AD141)),"")</f>
        <v>0</v>
      </c>
      <c r="AL141" s="231">
        <f>IF(V141&lt;&gt;"",SUMPRODUCT((AG$140:AG$143=AG141)*(AB$140:AB$143=AB141)*(Z$140:Z$143=Z141)*(AD$140:AD$143=AD141)*(AE$140:AE$143&gt;AE141)),"")</f>
        <v>0</v>
      </c>
      <c r="AM141" s="231">
        <f>IF(V141&lt;&gt;"",SUMPRODUCT((AG$140:AG$143=AG141)*(AB$140:AB$143=AB141)*(Z$140:Z$143=Z141)*(AD$140:AD$143=AD141)*(AE$140:AE$143=AE141)*(AF$140:AF$143&gt;AF141)),"")</f>
        <v>2</v>
      </c>
      <c r="AN141" s="231">
        <f t="shared" ref="AN141:AN143" si="239">IF(V141&lt;&gt;"",SUM(AH141:AM141),"")</f>
        <v>3</v>
      </c>
      <c r="AO141" s="231" t="str">
        <f>IF(AP62&lt;&gt;"",SUMPRODUCT((AW$61:AW$64=AW62)*(AV$61:AV$64=AV62)*(AT$61:AT$64=AT62)*(AU$61:AU$64=AU62)),"")</f>
        <v/>
      </c>
      <c r="AP141" s="231" t="str">
        <f>IF(AND(AO141&lt;&gt;"",AO141&gt;1),AP62,"")</f>
        <v/>
      </c>
      <c r="AQ141" s="231">
        <f>SUMPRODUCT((DA$3:DA$105=AP141)*(DD$3:DD$105=AP142)*(DE$3:DE$105="W"))+SUMPRODUCT((DA$3:DA$105=AP141)*(DD$3:DD$105=AP143)*(DE$3:DE$105="W"))+SUMPRODUCT((DA$3:DA$105=AP141)*(DD$3:DD$105=AP144)*(DE$3:DE$105="W"))+SUMPRODUCT((DA$3:DA$105=AP142)*(DD$3:DD$105=AP141)*(DF$3:DF$105="W"))+SUMPRODUCT((DA$3:DA$105=AP143)*(DD$3:DD$105=AP141)*(DF$3:DF$105="W"))+SUMPRODUCT((DA$3:DA$105=AP144)*(DD$3:DD$105=AP141)*(DF$3:DF$105="W"))</f>
        <v>0</v>
      </c>
      <c r="AR141" s="231">
        <f>SUMPRODUCT((DA$3:DA$105=AP141)*(DD$3:DD$105=AP142)*(DE$3:DE$105="D"))+SUMPRODUCT((DA$3:DA$105=AP141)*(DD$3:DD$105=AP143)*(DE$3:DE$105="D"))+SUMPRODUCT((DA$3:DA$105=AP141)*(DD$3:DD$105=AP144)*(DE$3:DE$105="D"))+SUMPRODUCT((DA$3:DA$105=AP142)*(DD$3:DD$105=AP141)*(DE$3:DE$105="D"))+SUMPRODUCT((DA$3:DA$105=AP143)*(DD$3:DD$105=AP141)*(DE$3:DE$105="D"))+SUMPRODUCT((DA$3:DA$105=AP144)*(DD$3:DD$105=AP141)*(DE$3:DE$105="D"))</f>
        <v>0</v>
      </c>
      <c r="AS141" s="231">
        <f>SUMPRODUCT((DA$3:DA$105=AP141)*(DD$3:DD$105=AP142)*(DE$3:DE$105="L"))+SUMPRODUCT((DA$3:DA$105=AP141)*(DD$3:DD$105=AP143)*(DE$3:DE$105="L"))+SUMPRODUCT((DA$3:DA$105=AP141)*(DD$3:DD$105=AP144)*(DE$3:DE$105="L"))+SUMPRODUCT((DA$3:DA$105=AP142)*(DD$3:DD$105=AP141)*(DF$3:DF$105="L"))+SUMPRODUCT((DA$3:DA$105=AP143)*(DD$3:DD$105=AP141)*(DF$3:DF$105="L"))+SUMPRODUCT((DA$3:DA$105=AP144)*(DD$3:DD$105=AP141)*(DF$3:DF$105="L"))</f>
        <v>0</v>
      </c>
      <c r="AT141" s="231">
        <f>SUMPRODUCT((DA$3:DA$105=AP141)*(DD$3:DD$105=AP142)*DB$3:DB$105)+SUMPRODUCT((DA$3:DA$105=AP141)*(DD$3:DD$105=AP143)*DB$3:DB$105)+SUMPRODUCT((DA$3:DA$105=AP141)*(DD$3:DD$105=AP144)*DB$3:DB$105)+SUMPRODUCT((DA$3:DA$105=AP141)*(DD$3:DD$105=AP140)*DB$3:DB$105)+SUMPRODUCT((DA$3:DA$105=AP142)*(DD$3:DD$105=AP141)*DC$3:DC$105)+SUMPRODUCT((DA$3:DA$105=AP143)*(DD$3:DD$105=AP141)*DC$3:DC$105)+SUMPRODUCT((DA$3:DA$105=AP144)*(DD$3:DD$105=AP141)*DC$3:DC$105)+SUMPRODUCT((DA$3:DA$105=AP140)*(DD$3:DD$105=AP141)*DC$3:DC$105)</f>
        <v>0</v>
      </c>
      <c r="AU141" s="231">
        <f>SUMPRODUCT((DA$3:DA$105=AP141)*(DD$3:DD$105=AP142)*DC$3:DC$105)+SUMPRODUCT((DA$3:DA$105=AP141)*(DD$3:DD$105=AP143)*DC$3:DC$105)+SUMPRODUCT((DA$3:DA$105=AP141)*(DD$3:DD$105=AP144)*DC$3:DC$105)+SUMPRODUCT((DA$3:DA$105=AP141)*(DD$3:DD$105=AP140)*DC$3:DC$105)+SUMPRODUCT((DA$3:DA$105=AP142)*(DD$3:DD$105=AP141)*DB$3:DB$105)+SUMPRODUCT((DA$3:DA$105=AP143)*(DD$3:DD$105=AP141)*DB$3:DB$105)+SUMPRODUCT((DA$3:DA$105=AP144)*(DD$3:DD$105=AP141)*DB$3:DB$105)+SUMPRODUCT((DA$3:DA$105=AP140)*(DD$3:DD$105=AP141)*DB$3:DB$105)</f>
        <v>0</v>
      </c>
      <c r="AV141" s="231">
        <f>AT141-AU141+1000</f>
        <v>1000</v>
      </c>
      <c r="AW141" s="231" t="str">
        <f t="shared" ref="AW141:AW143" si="240">IF(AP141&lt;&gt;"",AQ141*3+AR141*1,"")</f>
        <v/>
      </c>
      <c r="AX141" s="231" t="str">
        <f>IF(AP141&lt;&gt;"",VLOOKUP(AP141,C$4:I$64,7,FALSE),"")</f>
        <v/>
      </c>
      <c r="AY141" s="231" t="str">
        <f>IF(AP141&lt;&gt;"",VLOOKUP(AP141,C$4:I$64,5,FALSE),"")</f>
        <v/>
      </c>
      <c r="AZ141" s="231" t="str">
        <f>IF(AP141&lt;&gt;"",VLOOKUP(AP141,C$4:K$64,9,FALSE),"")</f>
        <v/>
      </c>
      <c r="BA141" s="231" t="str">
        <f t="shared" ref="BA141:BA143" si="241">AW141</f>
        <v/>
      </c>
      <c r="BB141" s="231" t="str">
        <f>IF(AP141&lt;&gt;"",RANK(BA141,BA140:BA143),"")</f>
        <v/>
      </c>
      <c r="BC141" s="231" t="str">
        <f>IF(AP141&lt;&gt;"",SUMPRODUCT((BA140:BA143=BA141)*(AV140:AV143&gt;AV141)),"")</f>
        <v/>
      </c>
      <c r="BD141" s="231" t="str">
        <f>IF(AP141&lt;&gt;"",SUMPRODUCT((BA140:BA143=BA141)*(AV140:AV143=AV141)*(AT140:AT143&gt;AT141)),"")</f>
        <v/>
      </c>
      <c r="BE141" s="231" t="str">
        <f>IF(AP141&lt;&gt;"",SUMPRODUCT((BA140:BA143=BA141)*(AV140:AV143=AV141)*(AT140:AT143=AT141)*(AX140:AX143&gt;AX141)),"")</f>
        <v/>
      </c>
      <c r="BF141" s="231" t="str">
        <f>IF(AP141&lt;&gt;"",SUMPRODUCT((BA140:BA143=BA141)*(AV140:AV143=AV141)*(AT140:AT143=AT141)*(AX140:AX143=AX141)*(AY140:AY143&gt;AY141)),"")</f>
        <v/>
      </c>
      <c r="BG141" s="231" t="str">
        <f>IF(AP141&lt;&gt;"",SUMPRODUCT((BA140:BA143=BA141)*(AV140:AV143=AV141)*(AT140:AT143=AT141)*(AX140:AX143=AX141)*(AY140:AY143=AY141)*(AZ140:AZ143&gt;AZ141)),"")</f>
        <v/>
      </c>
      <c r="BH141" s="231" t="str">
        <f>IF(AP141&lt;&gt;"",SUM(BB141:BG141)+1,"")</f>
        <v/>
      </c>
      <c r="DX141" s="230"/>
      <c r="DY141" s="230"/>
      <c r="DZ141" s="230"/>
      <c r="EA141" s="237"/>
      <c r="EB141" s="230"/>
      <c r="EC141" s="230"/>
    </row>
    <row r="142" spans="10:133" x14ac:dyDescent="0.25">
      <c r="J142" s="231">
        <f>IF(COUNTIF(J$61:J$64,4)=4,1,SUMPRODUCT((J$61:J$64=J63)*(I$61:I$64=I63)*(G$61:G$64&gt;G63))+1)</f>
        <v>1</v>
      </c>
      <c r="U142" s="231">
        <f>IF(V63&lt;&gt;"",SUMPRODUCT((AC$61:AC$64=AC63)*(AB$61:AB$64=AB63)*(Z$61:Z$64=Z63)*(AA$61:AA$64=AA63)),"")</f>
        <v>4</v>
      </c>
      <c r="V142" s="231" t="str">
        <f>IF(AND(U142&lt;&gt;"",U142&gt;1),V63,"")</f>
        <v>Austria</v>
      </c>
      <c r="W142" s="231">
        <f>SUMPRODUCT((DA$3:DA$105=V142)*(DD$3:DD$105=V143)*(DE$3:DE$105="W"))+SUMPRODUCT((DA$3:DA$105=V142)*(DD$3:DD$105=V144)*(DE$3:DE$105="W"))+SUMPRODUCT((DA$3:DA$105=V142)*(DD$3:DD$105=V140)*(DE$3:DE$105="W"))+SUMPRODUCT((DA$3:DA$105=V142)*(DD$3:DD$105=V141)*(DE$3:DE$105="W"))+SUMPRODUCT((DA$3:DA$105=V143)*(DD$3:DD$105=V142)*(DF$3:DF$105="W"))+SUMPRODUCT((DA$3:DA$105=V144)*(DD$3:DD$105=V142)*(DF$3:DF$105="W"))+SUMPRODUCT((DA$3:DA$105=V140)*(DD$3:DD$105=V142)*(DF$3:DF$105="W"))+SUMPRODUCT((DA$3:DA$105=V141)*(DD$3:DD$105=V142)*(DF$3:DF$105="W"))</f>
        <v>0</v>
      </c>
      <c r="X142" s="231">
        <f>SUMPRODUCT((DA$3:DA$105=V142)*(DD$3:DD$105=V143)*(DE$3:DE$105="D"))+SUMPRODUCT((DA$3:DA$105=V142)*(DD$3:DD$105=V144)*(DE$3:DE$105="D"))+SUMPRODUCT((DA$3:DA$105=V142)*(DD$3:DD$105=V140)*(DE$3:DE$105="D"))+SUMPRODUCT((DA$3:DA$105=V142)*(DD$3:DD$105=V141)*(DE$3:DE$105="D"))+SUMPRODUCT((DA$3:DA$105=V143)*(DD$3:DD$105=V142)*(DE$3:DE$105="D"))+SUMPRODUCT((DA$3:DA$105=V144)*(DD$3:DD$105=V142)*(DE$3:DE$105="D"))+SUMPRODUCT((DA$3:DA$105=V140)*(DD$3:DD$105=V142)*(DE$3:DE$105="D"))+SUMPRODUCT((DA$3:DA$105=V141)*(DD$3:DD$105=V142)*(DE$3:DE$105="D"))</f>
        <v>0</v>
      </c>
      <c r="Y142" s="231">
        <f>SUMPRODUCT((DA$3:DA$105=V142)*(DD$3:DD$105=V143)*(DE$3:DE$105="L"))+SUMPRODUCT((DA$3:DA$105=V142)*(DD$3:DD$105=V144)*(DE$3:DE$105="L"))+SUMPRODUCT((DA$3:DA$105=V142)*(DD$3:DD$105=V140)*(DE$3:DE$105="L"))+SUMPRODUCT((DA$3:DA$105=V142)*(DD$3:DD$105=V141)*(DE$3:DE$105="L"))+SUMPRODUCT((DA$3:DA$105=V143)*(DD$3:DD$105=V142)*(DF$3:DF$105="L"))+SUMPRODUCT((DA$3:DA$105=V144)*(DD$3:DD$105=V142)*(DF$3:DF$105="L"))+SUMPRODUCT((DA$3:DA$105=V140)*(DD$3:DD$105=V142)*(DF$3:DF$105="L"))+SUMPRODUCT((DA$3:DA$105=V141)*(DD$3:DD$105=V142)*(DF$3:DF$105="L"))</f>
        <v>0</v>
      </c>
      <c r="Z142" s="231">
        <f>SUMPRODUCT((DA$3:DA$105=V142)*(DD$3:DD$105=V143)*DB$3:DB$105)+SUMPRODUCT((DA$3:DA$105=V142)*(DD$3:DD$105=V144)*DB$3:DB$105)+SUMPRODUCT((DA$3:DA$105=V142)*(DD$3:DD$105=V140)*DB$3:DB$105)+SUMPRODUCT((DA$3:DA$105=V142)*(DD$3:DD$105=V141)*DB$3:DB$105)+SUMPRODUCT((DA$3:DA$105=V143)*(DD$3:DD$105=V142)*DC$3:DC$105)+SUMPRODUCT((DA$3:DA$105=V144)*(DD$3:DD$105=V142)*DC$3:DC$105)+SUMPRODUCT((DA$3:DA$105=V140)*(DD$3:DD$105=V142)*DC$3:DC$105)+SUMPRODUCT((DA$3:DA$105=V141)*(DD$3:DD$105=V142)*DC$3:DC$105)</f>
        <v>0</v>
      </c>
      <c r="AA142" s="231">
        <f>SUMPRODUCT((DA$3:DA$105=V142)*(DD$3:DD$105=V143)*DC$3:DC$105)+SUMPRODUCT((DA$3:DA$105=V142)*(DD$3:DD$105=V144)*DC$3:DC$105)+SUMPRODUCT((DA$3:DA$105=V142)*(DD$3:DD$105=V140)*DC$3:DC$105)+SUMPRODUCT((DA$3:DA$105=V142)*(DD$3:DD$105=V141)*DC$3:DC$105)+SUMPRODUCT((DA$3:DA$105=V143)*(DD$3:DD$105=V142)*DB$3:DB$105)+SUMPRODUCT((DA$3:DA$105=V144)*(DD$3:DD$105=V142)*DB$3:DB$105)+SUMPRODUCT((DA$3:DA$105=V140)*(DD$3:DD$105=V142)*DB$3:DB$105)+SUMPRODUCT((DA$3:DA$105=V141)*(DD$3:DD$105=V142)*DB$3:DB$105)</f>
        <v>0</v>
      </c>
      <c r="AB142" s="231">
        <f>Z142-AA142+1000</f>
        <v>1000</v>
      </c>
      <c r="AC142" s="231">
        <f t="shared" si="236"/>
        <v>0</v>
      </c>
      <c r="AD142" s="231">
        <f>IF(V142&lt;&gt;"",VLOOKUP(V142,C$4:I$64,7,FALSE),"")</f>
        <v>1000</v>
      </c>
      <c r="AE142" s="231">
        <f>IF(V142&lt;&gt;"",VLOOKUP(V142,C$4:I$64,5,FALSE),"")</f>
        <v>0</v>
      </c>
      <c r="AF142" s="231">
        <f>IF(V142&lt;&gt;"",VLOOKUP(V142,C$4:K$64,9,FALSE),"")</f>
        <v>-124</v>
      </c>
      <c r="AG142" s="231">
        <f t="shared" si="237"/>
        <v>0</v>
      </c>
      <c r="AH142" s="231">
        <f t="shared" si="238"/>
        <v>1</v>
      </c>
      <c r="AI142" s="231">
        <f>IF(V142&lt;&gt;"",SUMPRODUCT((AG$140:AG$143=AG142)*(AB$140:AB$143&gt;AB142)),"")</f>
        <v>0</v>
      </c>
      <c r="AJ142" s="231">
        <f>IF(V142&lt;&gt;"",SUMPRODUCT((AG$140:AG$143=AG142)*(AB$140:AB$143=AB142)*(Z$140:Z$143&gt;Z142)),"")</f>
        <v>0</v>
      </c>
      <c r="AK142" s="231">
        <f>IF(V142&lt;&gt;"",SUMPRODUCT((AG$140:AG$143=AG142)*(AB$140:AB$143=AB142)*(Z$140:Z$143=Z142)*(AD$140:AD$143&gt;AD142)),"")</f>
        <v>0</v>
      </c>
      <c r="AL142" s="231">
        <f>IF(V142&lt;&gt;"",SUMPRODUCT((AG$140:AG$143=AG142)*(AB$140:AB$143=AB142)*(Z$140:Z$143=Z142)*(AD$140:AD$143=AD142)*(AE$140:AE$143&gt;AE142)),"")</f>
        <v>0</v>
      </c>
      <c r="AM142" s="231">
        <f>IF(V142&lt;&gt;"",SUMPRODUCT((AG$140:AG$143=AG142)*(AB$140:AB$143=AB142)*(Z$140:Z$143=Z142)*(AD$140:AD$143=AD142)*(AE$140:AE$143=AE142)*(AF$140:AF$143&gt;AF142)),"")</f>
        <v>1</v>
      </c>
      <c r="AN142" s="231">
        <f t="shared" si="239"/>
        <v>2</v>
      </c>
      <c r="AO142" s="231" t="str">
        <f>IF(AP63&lt;&gt;"",SUMPRODUCT((AW$61:AW$64=AW63)*(AV$61:AV$64=AV63)*(AT$61:AT$64=AT63)*(AU$61:AU$64=AU63)),"")</f>
        <v/>
      </c>
      <c r="AP142" s="231" t="str">
        <f>IF(AND(AO142&lt;&gt;"",AO142&gt;1),AP63,"")</f>
        <v/>
      </c>
      <c r="AQ142" s="231">
        <f>SUMPRODUCT((DA$3:DA$105=AP142)*(DD$3:DD$105=AP143)*(DE$3:DE$105="W"))+SUMPRODUCT((DA$3:DA$105=AP142)*(DD$3:DD$105=AP144)*(DE$3:DE$105="W"))+SUMPRODUCT((DA$3:DA$105=AP142)*(DD$3:DD$105=AP141)*(DE$3:DE$105="W"))+SUMPRODUCT((DA$3:DA$105=AP143)*(DD$3:DD$105=AP142)*(DF$3:DF$105="W"))+SUMPRODUCT((DA$3:DA$105=AP144)*(DD$3:DD$105=AP142)*(DF$3:DF$105="W"))+SUMPRODUCT((DA$3:DA$105=AP141)*(DD$3:DD$105=AP142)*(DF$3:DF$105="W"))</f>
        <v>0</v>
      </c>
      <c r="AR142" s="231">
        <f>SUMPRODUCT((DA$3:DA$105=AP142)*(DD$3:DD$105=AP143)*(DE$3:DE$105="D"))+SUMPRODUCT((DA$3:DA$105=AP142)*(DD$3:DD$105=AP144)*(DE$3:DE$105="D"))+SUMPRODUCT((DA$3:DA$105=AP142)*(DD$3:DD$105=AP141)*(DE$3:DE$105="D"))+SUMPRODUCT((DA$3:DA$105=AP143)*(DD$3:DD$105=AP142)*(DE$3:DE$105="D"))+SUMPRODUCT((DA$3:DA$105=AP144)*(DD$3:DD$105=AP142)*(DE$3:DE$105="D"))+SUMPRODUCT((DA$3:DA$105=AP141)*(DD$3:DD$105=AP142)*(DE$3:DE$105="D"))</f>
        <v>0</v>
      </c>
      <c r="AS142" s="231">
        <f>SUMPRODUCT((DA$3:DA$105=AP142)*(DD$3:DD$105=AP143)*(DE$3:DE$105="L"))+SUMPRODUCT((DA$3:DA$105=AP142)*(DD$3:DD$105=AP144)*(DE$3:DE$105="L"))+SUMPRODUCT((DA$3:DA$105=AP142)*(DD$3:DD$105=AP141)*(DE$3:DE$105="L"))+SUMPRODUCT((DA$3:DA$105=AP143)*(DD$3:DD$105=AP142)*(DF$3:DF$105="L"))+SUMPRODUCT((DA$3:DA$105=AP144)*(DD$3:DD$105=AP142)*(DF$3:DF$105="L"))+SUMPRODUCT((DA$3:DA$105=AP141)*(DD$3:DD$105=AP142)*(DF$3:DF$105="L"))</f>
        <v>0</v>
      </c>
      <c r="AT142" s="231">
        <f>SUMPRODUCT((DA$3:DA$105=AP142)*(DD$3:DD$105=AP143)*DB$3:DB$105)+SUMPRODUCT((DA$3:DA$105=AP142)*(DD$3:DD$105=AP144)*DB$3:DB$105)+SUMPRODUCT((DA$3:DA$105=AP142)*(DD$3:DD$105=AP140)*DB$3:DB$105)+SUMPRODUCT((DA$3:DA$105=AP142)*(DD$3:DD$105=AP141)*DB$3:DB$105)+SUMPRODUCT((DA$3:DA$105=AP143)*(DD$3:DD$105=AP142)*DC$3:DC$105)+SUMPRODUCT((DA$3:DA$105=AP144)*(DD$3:DD$105=AP142)*DC$3:DC$105)+SUMPRODUCT((DA$3:DA$105=AP140)*(DD$3:DD$105=AP142)*DC$3:DC$105)+SUMPRODUCT((DA$3:DA$105=AP141)*(DD$3:DD$105=AP142)*DC$3:DC$105)</f>
        <v>0</v>
      </c>
      <c r="AU142" s="231">
        <f>SUMPRODUCT((DA$3:DA$105=AP142)*(DD$3:DD$105=AP143)*DC$3:DC$105)+SUMPRODUCT((DA$3:DA$105=AP142)*(DD$3:DD$105=AP144)*DC$3:DC$105)+SUMPRODUCT((DA$3:DA$105=AP142)*(DD$3:DD$105=AP140)*DC$3:DC$105)+SUMPRODUCT((DA$3:DA$105=AP142)*(DD$3:DD$105=AP141)*DC$3:DC$105)+SUMPRODUCT((DA$3:DA$105=AP143)*(DD$3:DD$105=AP142)*DB$3:DB$105)+SUMPRODUCT((DA$3:DA$105=AP144)*(DD$3:DD$105=AP142)*DB$3:DB$105)+SUMPRODUCT((DA$3:DA$105=AP140)*(DD$3:DD$105=AP142)*DB$3:DB$105)+SUMPRODUCT((DA$3:DA$105=AP141)*(DD$3:DD$105=AP142)*DB$3:DB$105)</f>
        <v>0</v>
      </c>
      <c r="AV142" s="231">
        <f>AT142-AU142+1000</f>
        <v>1000</v>
      </c>
      <c r="AW142" s="231" t="str">
        <f t="shared" si="240"/>
        <v/>
      </c>
      <c r="AX142" s="231" t="str">
        <f>IF(AP142&lt;&gt;"",VLOOKUP(AP142,C$4:I$64,7,FALSE),"")</f>
        <v/>
      </c>
      <c r="AY142" s="231" t="str">
        <f>IF(AP142&lt;&gt;"",VLOOKUP(AP142,C$4:I$64,5,FALSE),"")</f>
        <v/>
      </c>
      <c r="AZ142" s="231" t="str">
        <f>IF(AP142&lt;&gt;"",VLOOKUP(AP142,C$4:K$64,9,FALSE),"")</f>
        <v/>
      </c>
      <c r="BA142" s="231" t="str">
        <f t="shared" si="241"/>
        <v/>
      </c>
      <c r="BB142" s="231" t="str">
        <f>IF(AP142&lt;&gt;"",RANK(BA142,BA140:BA143),"")</f>
        <v/>
      </c>
      <c r="BC142" s="231" t="str">
        <f>IF(AP142&lt;&gt;"",SUMPRODUCT((BA140:BA143=BA142)*(AV140:AV143&gt;AV142)),"")</f>
        <v/>
      </c>
      <c r="BD142" s="231" t="str">
        <f>IF(AP142&lt;&gt;"",SUMPRODUCT((BA140:BA143=BA142)*(AV140:AV143=AV142)*(AT140:AT143&gt;AT142)),"")</f>
        <v/>
      </c>
      <c r="BE142" s="231" t="str">
        <f>IF(AP142&lt;&gt;"",SUMPRODUCT((BA140:BA143=BA142)*(AV140:AV143=AV142)*(AT140:AT143=AT142)*(AX140:AX143&gt;AX142)),"")</f>
        <v/>
      </c>
      <c r="BF142" s="231" t="str">
        <f>IF(AP142&lt;&gt;"",SUMPRODUCT((BA140:BA143=BA142)*(AV140:AV143=AV142)*(AT140:AT143=AT142)*(AX140:AX143=AX142)*(AY140:AY143&gt;AY142)),"")</f>
        <v/>
      </c>
      <c r="BG142" s="231" t="str">
        <f>IF(AP142&lt;&gt;"",SUMPRODUCT((BA140:BA143=BA142)*(AV140:AV143=AV142)*(AT140:AT143=AT142)*(AX140:AX143=AX142)*(AY140:AY143=AY142)*(AZ140:AZ143&gt;AZ142)),"")</f>
        <v/>
      </c>
      <c r="BH142" s="231" t="str">
        <f t="shared" ref="BH142:BH143" si="242">IF(AP142&lt;&gt;"",SUM(BB142:BG142)+1,"")</f>
        <v/>
      </c>
      <c r="DX142" s="230"/>
      <c r="DY142" s="230"/>
      <c r="DZ142" s="230"/>
      <c r="EA142" s="237"/>
      <c r="EB142" s="230"/>
      <c r="EC142" s="230"/>
    </row>
    <row r="143" spans="10:133" x14ac:dyDescent="0.25">
      <c r="J143" s="231">
        <f>IF(COUNTIF(J$61:J$64,4)=4,1,SUMPRODUCT((J$61:J$64=J64)*(I$61:I$64=I64)*(G$61:G$64&gt;G64))+1)</f>
        <v>1</v>
      </c>
      <c r="U143" s="231">
        <f>IF(V64&lt;&gt;"",SUMPRODUCT((AC$61:AC$64=AC64)*(AB$61:AB$64=AB64)*(Z$61:Z$64=Z64)*(AA$61:AA$64=AA64)),"")</f>
        <v>4</v>
      </c>
      <c r="V143" s="231" t="str">
        <f>IF(AND(U143&lt;&gt;"",U143&gt;1),V64,"")</f>
        <v>Argentina</v>
      </c>
      <c r="W143" s="231">
        <f>SUMPRODUCT((DA$3:DA$105=V143)*(DD$3:DD$105=V144)*(DE$3:DE$105="W"))+SUMPRODUCT((DA$3:DA$105=V143)*(DD$3:DD$105=V140)*(DE$3:DE$105="W"))+SUMPRODUCT((DA$3:DA$105=V143)*(DD$3:DD$105=V141)*(DE$3:DE$105="W"))+SUMPRODUCT((DA$3:DA$105=V143)*(DD$3:DD$105=V142)*(DE$3:DE$105="W"))+SUMPRODUCT((DA$3:DA$105=V144)*(DD$3:DD$105=V143)*(DF$3:DF$105="W"))+SUMPRODUCT((DA$3:DA$105=V140)*(DD$3:DD$105=V143)*(DF$3:DF$105="W"))+SUMPRODUCT((DA$3:DA$105=V141)*(DD$3:DD$105=V143)*(DF$3:DF$105="W"))+SUMPRODUCT((DA$3:DA$105=V142)*(DD$3:DD$105=V143)*(DF$3:DF$105="W"))</f>
        <v>0</v>
      </c>
      <c r="X143" s="231">
        <f>SUMPRODUCT((DA$3:DA$105=V143)*(DD$3:DD$105=V144)*(DE$3:DE$105="D"))+SUMPRODUCT((DA$3:DA$105=V143)*(DD$3:DD$105=V140)*(DE$3:DE$105="D"))+SUMPRODUCT((DA$3:DA$105=V143)*(DD$3:DD$105=V141)*(DE$3:DE$105="D"))+SUMPRODUCT((DA$3:DA$105=V143)*(DD$3:DD$105=V142)*(DE$3:DE$105="D"))+SUMPRODUCT((DA$3:DA$105=V144)*(DD$3:DD$105=V143)*(DE$3:DE$105="D"))+SUMPRODUCT((DA$3:DA$105=V140)*(DD$3:DD$105=V143)*(DE$3:DE$105="D"))+SUMPRODUCT((DA$3:DA$105=V141)*(DD$3:DD$105=V143)*(DE$3:DE$105="D"))+SUMPRODUCT((DA$3:DA$105=V142)*(DD$3:DD$105=V143)*(DE$3:DE$105="D"))</f>
        <v>0</v>
      </c>
      <c r="Y143" s="231">
        <f>SUMPRODUCT((DA$3:DA$105=V143)*(DD$3:DD$105=V144)*(DE$3:DE$105="L"))+SUMPRODUCT((DA$3:DA$105=V143)*(DD$3:DD$105=V140)*(DE$3:DE$105="L"))+SUMPRODUCT((DA$3:DA$105=V143)*(DD$3:DD$105=V141)*(DE$3:DE$105="L"))+SUMPRODUCT((DA$3:DA$105=V143)*(DD$3:DD$105=V142)*(DE$3:DE$105="L"))+SUMPRODUCT((DA$3:DA$105=V144)*(DD$3:DD$105=V143)*(DF$3:DF$105="L"))+SUMPRODUCT((DA$3:DA$105=V140)*(DD$3:DD$105=V143)*(DF$3:DF$105="L"))+SUMPRODUCT((DA$3:DA$105=V141)*(DD$3:DD$105=V143)*(DF$3:DF$105="L"))+SUMPRODUCT((DA$3:DA$105=V142)*(DD$3:DD$105=V143)*(DF$3:DF$105="L"))</f>
        <v>0</v>
      </c>
      <c r="Z143" s="231">
        <f>SUMPRODUCT((DA$3:DA$105=V143)*(DD$3:DD$105=V144)*DB$3:DB$105)+SUMPRODUCT((DA$3:DA$105=V143)*(DD$3:DD$105=V140)*DB$3:DB$105)+SUMPRODUCT((DA$3:DA$105=V143)*(DD$3:DD$105=V141)*DB$3:DB$105)+SUMPRODUCT((DA$3:DA$105=V143)*(DD$3:DD$105=V142)*DB$3:DB$105)+SUMPRODUCT((DA$3:DA$105=V144)*(DD$3:DD$105=V143)*DC$3:DC$105)+SUMPRODUCT((DA$3:DA$105=V140)*(DD$3:DD$105=V143)*DC$3:DC$105)+SUMPRODUCT((DA$3:DA$105=V141)*(DD$3:DD$105=V143)*DC$3:DC$105)+SUMPRODUCT((DA$3:DA$105=V142)*(DD$3:DD$105=V143)*DC$3:DC$105)</f>
        <v>0</v>
      </c>
      <c r="AA143" s="231">
        <f>SUMPRODUCT((DA$3:DA$105=V143)*(DD$3:DD$105=V144)*DC$3:DC$105)+SUMPRODUCT((DA$3:DA$105=V143)*(DD$3:DD$105=V140)*DC$3:DC$105)+SUMPRODUCT((DA$3:DA$105=V143)*(DD$3:DD$105=V141)*DC$3:DC$105)+SUMPRODUCT((DA$3:DA$105=V143)*(DD$3:DD$105=V142)*DC$3:DC$105)+SUMPRODUCT((DA$3:DA$105=V144)*(DD$3:DD$105=V143)*DB$3:DB$105)+SUMPRODUCT((DA$3:DA$105=V140)*(DD$3:DD$105=V143)*DB$3:DB$105)+SUMPRODUCT((DA$3:DA$105=V141)*(DD$3:DD$105=V143)*DB$3:DB$105)+SUMPRODUCT((DA$3:DA$105=V142)*(DD$3:DD$105=V143)*DB$3:DB$105)</f>
        <v>0</v>
      </c>
      <c r="AB143" s="231">
        <f>Z143-AA143+1000</f>
        <v>1000</v>
      </c>
      <c r="AC143" s="231">
        <f t="shared" si="236"/>
        <v>0</v>
      </c>
      <c r="AD143" s="231">
        <f>IF(V143&lt;&gt;"",VLOOKUP(V143,C$4:I$64,7,FALSE),"")</f>
        <v>1000</v>
      </c>
      <c r="AE143" s="231">
        <f>IF(V143&lt;&gt;"",VLOOKUP(V143,C$4:I$64,5,FALSE),"")</f>
        <v>0</v>
      </c>
      <c r="AF143" s="231">
        <f>IF(V143&lt;&gt;"",VLOOKUP(V143,C$4:K$64,9,FALSE),"")</f>
        <v>-102</v>
      </c>
      <c r="AG143" s="231">
        <f t="shared" si="237"/>
        <v>0</v>
      </c>
      <c r="AH143" s="231">
        <f t="shared" si="238"/>
        <v>1</v>
      </c>
      <c r="AI143" s="231">
        <f>IF(V143&lt;&gt;"",SUMPRODUCT((AG$140:AG$143=AG143)*(AB$140:AB$143&gt;AB143)),"")</f>
        <v>0</v>
      </c>
      <c r="AJ143" s="231">
        <f>IF(V143&lt;&gt;"",SUMPRODUCT((AG$140:AG$143=AG143)*(AB$140:AB$143=AB143)*(Z$140:Z$143&gt;Z143)),"")</f>
        <v>0</v>
      </c>
      <c r="AK143" s="231">
        <f>IF(V143&lt;&gt;"",SUMPRODUCT((AG$140:AG$143=AG143)*(AB$140:AB$143=AB143)*(Z$140:Z$143=Z143)*(AD$140:AD$143&gt;AD143)),"")</f>
        <v>0</v>
      </c>
      <c r="AL143" s="231">
        <f>IF(V143&lt;&gt;"",SUMPRODUCT((AG$140:AG$143=AG143)*(AB$140:AB$143=AB143)*(Z$140:Z$143=Z143)*(AD$140:AD$143=AD143)*(AE$140:AE$143&gt;AE143)),"")</f>
        <v>0</v>
      </c>
      <c r="AM143" s="231">
        <f>IF(V143&lt;&gt;"",SUMPRODUCT((AG$140:AG$143=AG143)*(AB$140:AB$143=AB143)*(Z$140:Z$143=Z143)*(AD$140:AD$143=AD143)*(AE$140:AE$143=AE143)*(AF$140:AF$143&gt;AF143)),"")</f>
        <v>0</v>
      </c>
      <c r="AN143" s="231">
        <f t="shared" si="239"/>
        <v>1</v>
      </c>
      <c r="AO143" s="231" t="str">
        <f>IF(AP64&lt;&gt;"",SUMPRODUCT((AW$61:AW$64=AW64)*(AV$61:AV$64=AV64)*(AT$61:AT$64=AT64)*(AU$61:AU$64=AU64)),"")</f>
        <v/>
      </c>
      <c r="AP143" s="231" t="str">
        <f>IF(AND(AO143&lt;&gt;"",AO143&gt;1),AP64,"")</f>
        <v/>
      </c>
      <c r="AQ143" s="231" t="str">
        <f>IF(AP143&lt;&gt;"",SUMPRODUCT((DA$3:DA$105=AP143)*(DD$3:DD$105=AP144)*(DE$3:DE$105="W"))+SUMPRODUCT((DA$3:DA$105=AP143)*(DD$3:DD$105=AP141)*(DE$3:DE$105="W"))+SUMPRODUCT((DA$3:DA$105=AP143)*(DD$3:DD$105=AP142)*(DE$3:DE$105="W"))+SUMPRODUCT((DA$3:DA$105=AP144)*(DD$3:DD$105=AP143)*(DF$3:DF$105="W"))+SUMPRODUCT((DA$3:DA$105=AP141)*(DD$3:DD$105=AP143)*(DF$3:DF$105="W"))+SUMPRODUCT((DA$3:DA$105=AP142)*(DD$3:DD$105=AP143)*(DF$3:DF$105="W")),"")</f>
        <v/>
      </c>
      <c r="AR143" s="231" t="str">
        <f>IF(AP143&lt;&gt;"",SUMPRODUCT((DA$3:DA$105=AP143)*(DD$3:DD$105=AP144)*(DE$3:DE$105="D"))+SUMPRODUCT((DA$3:DA$105=AP143)*(DD$3:DD$105=AP141)*(DE$3:DE$105="D"))+SUMPRODUCT((DA$3:DA$105=AP143)*(DD$3:DD$105=AP142)*(DE$3:DE$105="D"))+SUMPRODUCT((DA$3:DA$105=AP144)*(DD$3:DD$105=AP143)*(DE$3:DE$105="D"))+SUMPRODUCT((DA$3:DA$105=AP141)*(DD$3:DD$105=AP143)*(DE$3:DE$105="D"))+SUMPRODUCT((DA$3:DA$105=AP142)*(DD$3:DD$105=AP143)*(DE$3:DE$105="D")),"")</f>
        <v/>
      </c>
      <c r="AS143" s="231" t="str">
        <f>IF(AP143&lt;&gt;"",SUMPRODUCT((DA$3:DA$105=AP143)*(DD$3:DD$105=AP144)*(DE$3:DE$105="L"))+SUMPRODUCT((DA$3:DA$105=AP143)*(DD$3:DD$105=AP141)*(DE$3:DE$105="L"))+SUMPRODUCT((DA$3:DA$105=AP143)*(DD$3:DD$105=AP142)*(DE$3:DE$105="L"))+SUMPRODUCT((DA$3:DA$105=AP144)*(DD$3:DD$105=AP143)*(DF$3:DF$105="L"))+SUMPRODUCT((DA$3:DA$105=AP141)*(DD$3:DD$105=AP143)*(DF$3:DF$105="L"))+SUMPRODUCT((DA$3:DA$105=AP142)*(DD$3:DD$105=AP143)*(DF$3:DF$105="L")),"")</f>
        <v/>
      </c>
      <c r="AT143" s="231">
        <f>SUMPRODUCT((DA$3:DA$105=AP143)*(DD$3:DD$105=AP144)*DB$3:DB$105)+SUMPRODUCT((DA$3:DA$105=AP143)*(DD$3:DD$105=AP140)*DB$3:DB$105)+SUMPRODUCT((DA$3:DA$105=AP143)*(DD$3:DD$105=AP141)*DB$3:DB$105)+SUMPRODUCT((DA$3:DA$105=AP143)*(DD$3:DD$105=AP142)*DB$3:DB$105)+SUMPRODUCT((DA$3:DA$105=AP144)*(DD$3:DD$105=AP143)*DC$3:DC$105)+SUMPRODUCT((DA$3:DA$105=AP140)*(DD$3:DD$105=AP143)*DC$3:DC$105)+SUMPRODUCT((DA$3:DA$105=AP141)*(DD$3:DD$105=AP143)*DC$3:DC$105)+SUMPRODUCT((DA$3:DA$105=AP142)*(DD$3:DD$105=AP143)*DC$3:DC$105)</f>
        <v>0</v>
      </c>
      <c r="AU143" s="231">
        <f>SUMPRODUCT((DA$3:DA$105=AP143)*(DD$3:DD$105=AP144)*DC$3:DC$105)+SUMPRODUCT((DA$3:DA$105=AP143)*(DD$3:DD$105=AP140)*DC$3:DC$105)+SUMPRODUCT((DA$3:DA$105=AP143)*(DD$3:DD$105=AP141)*DC$3:DC$105)+SUMPRODUCT((DA$3:DA$105=AP143)*(DD$3:DD$105=AP142)*DC$3:DC$105)+SUMPRODUCT((DA$3:DA$105=AP144)*(DD$3:DD$105=AP143)*DB$3:DB$105)+SUMPRODUCT((DA$3:DA$105=AP140)*(DD$3:DD$105=AP143)*DB$3:DB$105)+SUMPRODUCT((DA$3:DA$105=AP141)*(DD$3:DD$105=AP143)*DB$3:DB$105)+SUMPRODUCT((DA$3:DA$105=AP142)*(DD$3:DD$105=AP143)*DB$3:DB$105)</f>
        <v>0</v>
      </c>
      <c r="AV143" s="231">
        <f>AT143-AU143+1000</f>
        <v>1000</v>
      </c>
      <c r="AW143" s="231" t="str">
        <f t="shared" si="240"/>
        <v/>
      </c>
      <c r="AX143" s="231" t="str">
        <f>IF(AP143&lt;&gt;"",VLOOKUP(AP143,C$4:I$64,7,FALSE),"")</f>
        <v/>
      </c>
      <c r="AY143" s="231" t="str">
        <f>IF(AP143&lt;&gt;"",VLOOKUP(AP143,C$4:I$64,5,FALSE),"")</f>
        <v/>
      </c>
      <c r="AZ143" s="231" t="str">
        <f>IF(AP143&lt;&gt;"",VLOOKUP(AP143,C$4:K$64,9,FALSE),"")</f>
        <v/>
      </c>
      <c r="BA143" s="231" t="str">
        <f t="shared" si="241"/>
        <v/>
      </c>
      <c r="BB143" s="231" t="str">
        <f>IF(AP143&lt;&gt;"",RANK(BA143,BA140:BA143),"")</f>
        <v/>
      </c>
      <c r="BC143" s="231" t="str">
        <f>IF(AP143&lt;&gt;"",SUMPRODUCT((BA140:BA143=BA143)*(AV140:AV143&gt;AV143)),"")</f>
        <v/>
      </c>
      <c r="BD143" s="231" t="str">
        <f>IF(AP143&lt;&gt;"",SUMPRODUCT((BA140:BA143=BA143)*(AV140:AV143=AV143)*(AT140:AT143&gt;AT143)),"")</f>
        <v/>
      </c>
      <c r="BE143" s="231" t="str">
        <f>IF(AP143&lt;&gt;"",SUMPRODUCT((BA140:BA143=BA143)*(AV140:AV143=AV143)*(AT140:AT143=AT143)*(AX140:AX143&gt;AX143)),"")</f>
        <v/>
      </c>
      <c r="BF143" s="231" t="str">
        <f>IF(AP143&lt;&gt;"",SUMPRODUCT((BA140:BA143=BA143)*(AV140:AV143=AV143)*(AT140:AT143=AT143)*(AX140:AX143=AX143)*(AY140:AY143&gt;AY143)),"")</f>
        <v/>
      </c>
      <c r="BG143" s="231" t="str">
        <f>IF(AP143&lt;&gt;"",SUMPRODUCT((BA140:BA143=BA143)*(AV140:AV143=AV143)*(AT140:AT143=AT143)*(AX140:AX143=AX143)*(AY140:AY143=AY143)*(AZ140:AZ143&gt;AZ143)),"")</f>
        <v/>
      </c>
      <c r="BH143" s="231" t="str">
        <f t="shared" si="242"/>
        <v/>
      </c>
      <c r="DX143" s="230"/>
      <c r="DY143" s="230"/>
      <c r="DZ143" s="230"/>
      <c r="EA143" s="237"/>
      <c r="EB143" s="230"/>
      <c r="EC143" s="230"/>
    </row>
    <row r="144" spans="10:133" x14ac:dyDescent="0.25">
      <c r="DX144" s="230"/>
      <c r="DY144" s="230"/>
      <c r="DZ144" s="230"/>
      <c r="EA144" s="237"/>
      <c r="EB144" s="230"/>
      <c r="EC144" s="230"/>
    </row>
    <row r="145" spans="4:133" x14ac:dyDescent="0.25">
      <c r="U145" s="231">
        <f>IF(V146="",SUM(AH67:AM67),IF(V147="",SUM(AH68:AM68),IF(V148="",SUM(AH69:AM69),IF(V149="",SUM(AH70:AM70),0))))</f>
        <v>0</v>
      </c>
      <c r="AO145" s="231">
        <f>IF(AP147="",SUM(BB68:BG68),IF(AP148="",SUM(BB69:BG69),IF(AP149="",SUM(BB70:BG70),0)))</f>
        <v>0</v>
      </c>
      <c r="DX145" s="230"/>
      <c r="DY145" s="230"/>
      <c r="DZ145" s="230"/>
      <c r="EA145" s="237"/>
      <c r="EB145" s="230"/>
      <c r="EC145" s="230"/>
    </row>
    <row r="146" spans="4:133" x14ac:dyDescent="0.25">
      <c r="J146" s="231">
        <f>IF(COUNTIF(J$67:J$70,4)=4,1,SUMPRODUCT((J$67:J$70=J67)*(I$67:I$70=I67)*(G$67:G$70&gt;G67))+1)</f>
        <v>1</v>
      </c>
      <c r="U146" s="231">
        <f>IF(V67&lt;&gt;"",SUMPRODUCT((AC$67:AC$70=AC67)*(AB$67:AB$70=AB67)*(Z$67:Z$70=Z67)*(AA$67:AA$70=AA67)),"")</f>
        <v>4</v>
      </c>
      <c r="V146" s="231" t="str">
        <f>IF(AND(U146&lt;&gt;"",U146&gt;1),V67,"")</f>
        <v>Uzbekistan</v>
      </c>
      <c r="W146" s="231">
        <f>SUMPRODUCT((DA$3:DA$105=V146)*(DD$3:DD$105=V147)*(DE$3:DE$105="W"))+SUMPRODUCT((DA$3:DA$105=V146)*(DD$3:DD$105=V148)*(DE$3:DE$105="W"))+SUMPRODUCT((DA$3:DA$105=V146)*(DD$3:DD$105=V149)*(DE$3:DE$105="W"))+SUMPRODUCT((DA$3:DA$105=V146)*(DD$3:DD$105=V150)*(DE$3:DE$105="W"))+SUMPRODUCT((DA$3:DA$105=V147)*(DD$3:DD$105=V146)*(DF$3:DF$105="W"))+SUMPRODUCT((DA$3:DA$105=V148)*(DD$3:DD$105=V146)*(DF$3:DF$105="W"))+SUMPRODUCT((DA$3:DA$105=V149)*(DD$3:DD$105=V146)*(DF$3:DF$105="W"))+SUMPRODUCT((DA$3:DA$105=V150)*(DD$3:DD$105=V146)*(DF$3:DF$105="W"))</f>
        <v>0</v>
      </c>
      <c r="X146" s="231">
        <f>SUMPRODUCT((DA$3:DA$105=V146)*(DD$3:DD$105=V147)*(DE$3:DE$105="D"))+SUMPRODUCT((DA$3:DA$105=V146)*(DD$3:DD$105=V148)*(DE$3:DE$105="D"))+SUMPRODUCT((DA$3:DA$105=V146)*(DD$3:DD$105=V149)*(DE$3:DE$105="D"))+SUMPRODUCT((DA$3:DA$105=V146)*(DD$3:DD$105=V150)*(DE$3:DE$105="D"))+SUMPRODUCT((DA$3:DA$105=V147)*(DD$3:DD$105=V146)*(DE$3:DE$105="D"))+SUMPRODUCT((DA$3:DA$105=V148)*(DD$3:DD$105=V146)*(DE$3:DE$105="D"))+SUMPRODUCT((DA$3:DA$105=V149)*(DD$3:DD$105=V146)*(DE$3:DE$105="D"))+SUMPRODUCT((DA$3:DA$105=V150)*(DD$3:DD$105=V146)*(DE$3:DE$105="D"))</f>
        <v>0</v>
      </c>
      <c r="Y146" s="231">
        <f>SUMPRODUCT((DA$3:DA$105=V146)*(DD$3:DD$105=V147)*(DE$3:DE$105="L"))+SUMPRODUCT((DA$3:DA$105=V146)*(DD$3:DD$105=V148)*(DE$3:DE$105="L"))+SUMPRODUCT((DA$3:DA$105=V146)*(DD$3:DD$105=V149)*(DE$3:DE$105="L"))+SUMPRODUCT((DA$3:DA$105=V146)*(DD$3:DD$105=V150)*(DE$3:DE$105="L"))+SUMPRODUCT((DA$3:DA$105=V147)*(DD$3:DD$105=V146)*(DF$3:DF$105="L"))+SUMPRODUCT((DA$3:DA$105=V148)*(DD$3:DD$105=V146)*(DF$3:DF$105="L"))+SUMPRODUCT((DA$3:DA$105=V149)*(DD$3:DD$105=V146)*(DF$3:DF$105="L"))+SUMPRODUCT((DA$3:DA$105=V150)*(DD$3:DD$105=V146)*(DF$3:DF$105="L"))</f>
        <v>0</v>
      </c>
      <c r="Z146" s="231">
        <f>SUMPRODUCT((DA$3:DA$105=V146)*(DD$3:DD$105=V147)*DB$3:DB$105)+SUMPRODUCT((DA$3:DA$105=V146)*(DD$3:DD$105=V148)*DB$3:DB$105)+SUMPRODUCT((DA$3:DA$105=V146)*(DD$3:DD$105=V149)*DB$3:DB$105)+SUMPRODUCT((DA$3:DA$105=V146)*(DD$3:DD$105=V150)*DB$3:DB$105)+SUMPRODUCT((DA$3:DA$105=V147)*(DD$3:DD$105=V146)*DC$3:DC$105)+SUMPRODUCT((DA$3:DA$105=V148)*(DD$3:DD$105=V146)*DC$3:DC$105)+SUMPRODUCT((DA$3:DA$105=V149)*(DD$3:DD$105=V146)*DC$3:DC$105)+SUMPRODUCT((DA$3:DA$105=V150)*(DD$3:DD$105=V146)*DC$3:DC$105)</f>
        <v>0</v>
      </c>
      <c r="AA146" s="231">
        <f>SUMPRODUCT((DA$3:DA$105=V146)*(DD$3:DD$105=V147)*DC$3:DC$105)+SUMPRODUCT((DA$3:DA$105=V146)*(DD$3:DD$105=V148)*DC$3:DC$105)+SUMPRODUCT((DA$3:DA$105=V146)*(DD$3:DD$105=V149)*DC$3:DC$105)+SUMPRODUCT((DA$3:DA$105=V146)*(DD$3:DD$105=V150)*DC$3:DC$105)+SUMPRODUCT((DA$3:DA$105=V147)*(DD$3:DD$105=V146)*DB$3:DB$105)+SUMPRODUCT((DA$3:DA$105=V148)*(DD$3:DD$105=V146)*DB$3:DB$105)+SUMPRODUCT((DA$3:DA$105=V149)*(DD$3:DD$105=V146)*DB$3:DB$105)+SUMPRODUCT((DA$3:DA$105=V150)*(DD$3:DD$105=V146)*DB$3:DB$105)</f>
        <v>0</v>
      </c>
      <c r="AB146" s="231">
        <f>Z146-AA146+1000</f>
        <v>1000</v>
      </c>
      <c r="AC146" s="231">
        <f>IF(V146&lt;&gt;"",W146*3+X146*1,"")</f>
        <v>0</v>
      </c>
      <c r="AD146" s="231">
        <f>IF(V146&lt;&gt;"",VLOOKUP(V146,C$4:I$70,7,FALSE),"")</f>
        <v>1000</v>
      </c>
      <c r="AE146" s="231">
        <f>IF(V146&lt;&gt;"",VLOOKUP(V146,C$4:I$70,5,FALSE),"")</f>
        <v>0</v>
      </c>
      <c r="AF146" s="231">
        <f>IF(V146&lt;&gt;"",VLOOKUP(V146,C$4:K$70,9,FALSE),"")</f>
        <v>-152</v>
      </c>
      <c r="AG146" s="231">
        <f>AC146</f>
        <v>0</v>
      </c>
      <c r="AH146" s="231">
        <f>IF(V146&lt;&gt;"",RANK(AG146,AG$146:AG$149),"")</f>
        <v>1</v>
      </c>
      <c r="AI146" s="231">
        <f>IF(V146&lt;&gt;"",SUMPRODUCT((AG$146:AG$149=AG146)*(AB$146:AB$149&gt;AB146)),"")</f>
        <v>0</v>
      </c>
      <c r="AJ146" s="231">
        <f>IF(V146&lt;&gt;"",SUMPRODUCT((AG$146:AG$149=AG146)*(AB$146:AB$149=AB146)*(Z$146:Z$149&gt;Z146)),"")</f>
        <v>0</v>
      </c>
      <c r="AK146" s="231">
        <f>IF(V146&lt;&gt;"",SUMPRODUCT((AG$146:AG$149=AG146)*(AB$146:AB$149=AB146)*(Z$146:Z$149=Z146)*(AD$146:AD$149&gt;AD146)),"")</f>
        <v>0</v>
      </c>
      <c r="AL146" s="231">
        <f>IF(V146&lt;&gt;"",SUMPRODUCT((AG$146:AG$149=AG146)*(AB$146:AB$149=AB146)*(Z$146:Z$149=Z146)*(AD$146:AD$149=AD146)*(AE$146:AE$149&gt;AE146)),"")</f>
        <v>0</v>
      </c>
      <c r="AM146" s="231">
        <f>IF(V146&lt;&gt;"",SUMPRODUCT((AG$146:AG$149=AG146)*(AB$146:AB$149=AB146)*(Z$146:Z$149=Z146)*(AD$146:AD$149=AD146)*(AE$146:AE$149=AE146)*(AF$146:AF$149&gt;AF146)),"")</f>
        <v>3</v>
      </c>
      <c r="AN146" s="231">
        <f>IF(V146&lt;&gt;"",SUM(AH146:AM146),"")</f>
        <v>4</v>
      </c>
      <c r="DX146" s="230"/>
      <c r="DY146" s="230"/>
      <c r="DZ146" s="230"/>
      <c r="EA146" s="237"/>
      <c r="EB146" s="230"/>
      <c r="EC146" s="230"/>
    </row>
    <row r="147" spans="4:133" x14ac:dyDescent="0.25">
      <c r="J147" s="231">
        <f>IF(COUNTIF(J$67:J$70,4)=4,1,SUMPRODUCT((J$67:J$70=J68)*(I$67:I$70=I68)*(G$67:G$70&gt;G68))+1)</f>
        <v>1</v>
      </c>
      <c r="U147" s="231">
        <f>IF(V68&lt;&gt;"",SUMPRODUCT((AC$67:AC$70=AC68)*(AB$67:AB$70=AB68)*(Z$67:Z$70=Z68)*(AA$67:AA$70=AA68)),"")</f>
        <v>4</v>
      </c>
      <c r="V147" s="231" t="str">
        <f>IF(AND(U147&lt;&gt;"",U147&gt;1),V68,"")</f>
        <v>DR Congo</v>
      </c>
      <c r="W147" s="231">
        <f>SUMPRODUCT((DA$3:DA$105=V147)*(DD$3:DD$105=V148)*(DE$3:DE$105="W"))+SUMPRODUCT((DA$3:DA$105=V147)*(DD$3:DD$105=V149)*(DE$3:DE$105="W"))+SUMPRODUCT((DA$3:DA$105=V147)*(DD$3:DD$105=V150)*(DE$3:DE$105="W"))+SUMPRODUCT((DA$3:DA$105=V147)*(DD$3:DD$105=V146)*(DE$3:DE$105="W"))+SUMPRODUCT((DA$3:DA$105=V148)*(DD$3:DD$105=V147)*(DF$3:DF$105="W"))+SUMPRODUCT((DA$3:DA$105=V149)*(DD$3:DD$105=V147)*(DF$3:DF$105="W"))+SUMPRODUCT((DA$3:DA$105=V150)*(DD$3:DD$105=V147)*(DF$3:DF$105="W"))+SUMPRODUCT((DA$3:DA$105=V146)*(DD$3:DD$105=V147)*(DF$3:DF$105="W"))</f>
        <v>0</v>
      </c>
      <c r="X147" s="231">
        <f>SUMPRODUCT((DA$3:DA$105=V147)*(DD$3:DD$105=V148)*(DE$3:DE$105="D"))+SUMPRODUCT((DA$3:DA$105=V147)*(DD$3:DD$105=V149)*(DE$3:DE$105="D"))+SUMPRODUCT((DA$3:DA$105=V147)*(DD$3:DD$105=V150)*(DE$3:DE$105="D"))+SUMPRODUCT((DA$3:DA$105=V147)*(DD$3:DD$105=V146)*(DE$3:DE$105="D"))+SUMPRODUCT((DA$3:DA$105=V148)*(DD$3:DD$105=V147)*(DE$3:DE$105="D"))+SUMPRODUCT((DA$3:DA$105=V149)*(DD$3:DD$105=V147)*(DE$3:DE$105="D"))+SUMPRODUCT((DA$3:DA$105=V150)*(DD$3:DD$105=V147)*(DE$3:DE$105="D"))+SUMPRODUCT((DA$3:DA$105=V146)*(DD$3:DD$105=V147)*(DE$3:DE$105="D"))</f>
        <v>0</v>
      </c>
      <c r="Y147" s="231">
        <f>SUMPRODUCT((DA$3:DA$105=V147)*(DD$3:DD$105=V148)*(DE$3:DE$105="L"))+SUMPRODUCT((DA$3:DA$105=V147)*(DD$3:DD$105=V149)*(DE$3:DE$105="L"))+SUMPRODUCT((DA$3:DA$105=V147)*(DD$3:DD$105=V150)*(DE$3:DE$105="L"))+SUMPRODUCT((DA$3:DA$105=V147)*(DD$3:DD$105=V146)*(DE$3:DE$105="L"))+SUMPRODUCT((DA$3:DA$105=V148)*(DD$3:DD$105=V147)*(DF$3:DF$105="L"))+SUMPRODUCT((DA$3:DA$105=V149)*(DD$3:DD$105=V147)*(DF$3:DF$105="L"))+SUMPRODUCT((DA$3:DA$105=V150)*(DD$3:DD$105=V147)*(DF$3:DF$105="L"))+SUMPRODUCT((DA$3:DA$105=V146)*(DD$3:DD$105=V147)*(DF$3:DF$105="L"))</f>
        <v>0</v>
      </c>
      <c r="Z147" s="231">
        <f>SUMPRODUCT((DA$3:DA$105=V147)*(DD$3:DD$105=V148)*DB$3:DB$105)+SUMPRODUCT((DA$3:DA$105=V147)*(DD$3:DD$105=V149)*DB$3:DB$105)+SUMPRODUCT((DA$3:DA$105=V147)*(DD$3:DD$105=V150)*DB$3:DB$105)+SUMPRODUCT((DA$3:DA$105=V147)*(DD$3:DD$105=V146)*DB$3:DB$105)+SUMPRODUCT((DA$3:DA$105=V148)*(DD$3:DD$105=V147)*DC$3:DC$105)+SUMPRODUCT((DA$3:DA$105=V149)*(DD$3:DD$105=V147)*DC$3:DC$105)+SUMPRODUCT((DA$3:DA$105=V150)*(DD$3:DD$105=V147)*DC$3:DC$105)+SUMPRODUCT((DA$3:DA$105=V146)*(DD$3:DD$105=V147)*DC$3:DC$105)</f>
        <v>0</v>
      </c>
      <c r="AA147" s="231">
        <f>SUMPRODUCT((DA$3:DA$105=V147)*(DD$3:DD$105=V148)*DC$3:DC$105)+SUMPRODUCT((DA$3:DA$105=V147)*(DD$3:DD$105=V149)*DC$3:DC$105)+SUMPRODUCT((DA$3:DA$105=V147)*(DD$3:DD$105=V150)*DC$3:DC$105)+SUMPRODUCT((DA$3:DA$105=V147)*(DD$3:DD$105=V146)*DC$3:DC$105)+SUMPRODUCT((DA$3:DA$105=V148)*(DD$3:DD$105=V147)*DB$3:DB$105)+SUMPRODUCT((DA$3:DA$105=V149)*(DD$3:DD$105=V147)*DB$3:DB$105)+SUMPRODUCT((DA$3:DA$105=V150)*(DD$3:DD$105=V147)*DB$3:DB$105)+SUMPRODUCT((DA$3:DA$105=V146)*(DD$3:DD$105=V147)*DB$3:DB$105)</f>
        <v>0</v>
      </c>
      <c r="AB147" s="231">
        <f>Z147-AA147+1000</f>
        <v>1000</v>
      </c>
      <c r="AC147" s="231">
        <f t="shared" ref="AC147:AC149" si="243">IF(V147&lt;&gt;"",W147*3+X147*1,"")</f>
        <v>0</v>
      </c>
      <c r="AD147" s="231">
        <f>IF(V147&lt;&gt;"",VLOOKUP(V147,C$4:I$70,7,FALSE),"")</f>
        <v>1000</v>
      </c>
      <c r="AE147" s="231">
        <f>IF(V147&lt;&gt;"",VLOOKUP(V147,C$4:I$70,5,FALSE),"")</f>
        <v>0</v>
      </c>
      <c r="AF147" s="231">
        <f>IF(V147&lt;&gt;"",VLOOKUP(V147,C$4:K$70,9,FALSE),"")</f>
        <v>-148</v>
      </c>
      <c r="AG147" s="231">
        <f t="shared" ref="AG147:AG149" si="244">AC147</f>
        <v>0</v>
      </c>
      <c r="AH147" s="231">
        <f t="shared" ref="AH147:AH149" si="245">IF(V147&lt;&gt;"",RANK(AG147,AG$146:AG$149),"")</f>
        <v>1</v>
      </c>
      <c r="AI147" s="231">
        <f>IF(V147&lt;&gt;"",SUMPRODUCT((AG$146:AG$149=AG147)*(AB$146:AB$149&gt;AB147)),"")</f>
        <v>0</v>
      </c>
      <c r="AJ147" s="231">
        <f>IF(V147&lt;&gt;"",SUMPRODUCT((AG$146:AG$149=AG147)*(AB$146:AB$149=AB147)*(Z$146:Z$149&gt;Z147)),"")</f>
        <v>0</v>
      </c>
      <c r="AK147" s="231">
        <f>IF(V147&lt;&gt;"",SUMPRODUCT((AG$146:AG$149=AG147)*(AB$146:AB$149=AB147)*(Z$146:Z$149=Z147)*(AD$146:AD$149&gt;AD147)),"")</f>
        <v>0</v>
      </c>
      <c r="AL147" s="231">
        <f>IF(V147&lt;&gt;"",SUMPRODUCT((AG$146:AG$149=AG147)*(AB$146:AB$149=AB147)*(Z$146:Z$149=Z147)*(AD$146:AD$149=AD147)*(AE$146:AE$149&gt;AE147)),"")</f>
        <v>0</v>
      </c>
      <c r="AM147" s="231">
        <f>IF(V147&lt;&gt;"",SUMPRODUCT((AG$146:AG$149=AG147)*(AB$146:AB$149=AB147)*(Z$146:Z$149=Z147)*(AD$146:AD$149=AD147)*(AE$146:AE$149=AE147)*(AF$146:AF$149&gt;AF147)),"")</f>
        <v>2</v>
      </c>
      <c r="AN147" s="231">
        <f t="shared" ref="AN147:AN149" si="246">IF(V147&lt;&gt;"",SUM(AH147:AM147),"")</f>
        <v>3</v>
      </c>
      <c r="AO147" s="231" t="str">
        <f>IF(AP68&lt;&gt;"",SUMPRODUCT((AW$67:AW$70=AW68)*(AV$67:AV$70=AV68)*(AT$67:AT$70=AT68)*(AU$67:AU$70=AU68)),"")</f>
        <v/>
      </c>
      <c r="AP147" s="231" t="str">
        <f>IF(AND(AO147&lt;&gt;"",AO147&gt;1),AP68,"")</f>
        <v/>
      </c>
      <c r="AQ147" s="231">
        <f>SUMPRODUCT((DA$3:DA$105=AP147)*(DD$3:DD$105=AP148)*(DE$3:DE$105="W"))+SUMPRODUCT((DA$3:DA$105=AP147)*(DD$3:DD$105=AP149)*(DE$3:DE$105="W"))+SUMPRODUCT((DA$3:DA$105=AP147)*(DD$3:DD$105=AP150)*(DE$3:DE$105="W"))+SUMPRODUCT((DA$3:DA$105=AP148)*(DD$3:DD$105=AP147)*(DF$3:DF$105="W"))+SUMPRODUCT((DA$3:DA$105=AP149)*(DD$3:DD$105=AP147)*(DF$3:DF$105="W"))+SUMPRODUCT((DA$3:DA$105=AP150)*(DD$3:DD$105=AP147)*(DF$3:DF$105="W"))</f>
        <v>0</v>
      </c>
      <c r="AR147" s="231">
        <f>SUMPRODUCT((DA$3:DA$105=AP147)*(DD$3:DD$105=AP148)*(DE$3:DE$105="D"))+SUMPRODUCT((DA$3:DA$105=AP147)*(DD$3:DD$105=AP149)*(DE$3:DE$105="D"))+SUMPRODUCT((DA$3:DA$105=AP147)*(DD$3:DD$105=AP150)*(DE$3:DE$105="D"))+SUMPRODUCT((DA$3:DA$105=AP148)*(DD$3:DD$105=AP147)*(DE$3:DE$105="D"))+SUMPRODUCT((DA$3:DA$105=AP149)*(DD$3:DD$105=AP147)*(DE$3:DE$105="D"))+SUMPRODUCT((DA$3:DA$105=AP150)*(DD$3:DD$105=AP147)*(DE$3:DE$105="D"))</f>
        <v>0</v>
      </c>
      <c r="AS147" s="231">
        <f>SUMPRODUCT((DA$3:DA$105=AP147)*(DD$3:DD$105=AP148)*(DE$3:DE$105="L"))+SUMPRODUCT((DA$3:DA$105=AP147)*(DD$3:DD$105=AP149)*(DE$3:DE$105="L"))+SUMPRODUCT((DA$3:DA$105=AP147)*(DD$3:DD$105=AP150)*(DE$3:DE$105="L"))+SUMPRODUCT((DA$3:DA$105=AP148)*(DD$3:DD$105=AP147)*(DF$3:DF$105="L"))+SUMPRODUCT((DA$3:DA$105=AP149)*(DD$3:DD$105=AP147)*(DF$3:DF$105="L"))+SUMPRODUCT((DA$3:DA$105=AP150)*(DD$3:DD$105=AP147)*(DF$3:DF$105="L"))</f>
        <v>0</v>
      </c>
      <c r="AT147" s="231">
        <f>SUMPRODUCT((DA$3:DA$105=AP147)*(DD$3:DD$105=AP148)*DB$3:DB$105)+SUMPRODUCT((DA$3:DA$105=AP147)*(DD$3:DD$105=AP149)*DB$3:DB$105)+SUMPRODUCT((DA$3:DA$105=AP147)*(DD$3:DD$105=AP150)*DB$3:DB$105)+SUMPRODUCT((DA$3:DA$105=AP147)*(DD$3:DD$105=AP146)*DB$3:DB$105)+SUMPRODUCT((DA$3:DA$105=AP148)*(DD$3:DD$105=AP147)*DC$3:DC$105)+SUMPRODUCT((DA$3:DA$105=AP149)*(DD$3:DD$105=AP147)*DC$3:DC$105)+SUMPRODUCT((DA$3:DA$105=AP150)*(DD$3:DD$105=AP147)*DC$3:DC$105)+SUMPRODUCT((DA$3:DA$105=AP146)*(DD$3:DD$105=AP147)*DC$3:DC$105)</f>
        <v>0</v>
      </c>
      <c r="AU147" s="231">
        <f>SUMPRODUCT((DA$3:DA$105=AP147)*(DD$3:DD$105=AP148)*DC$3:DC$105)+SUMPRODUCT((DA$3:DA$105=AP147)*(DD$3:DD$105=AP149)*DC$3:DC$105)+SUMPRODUCT((DA$3:DA$105=AP147)*(DD$3:DD$105=AP150)*DC$3:DC$105)+SUMPRODUCT((DA$3:DA$105=AP147)*(DD$3:DD$105=AP146)*DC$3:DC$105)+SUMPRODUCT((DA$3:DA$105=AP148)*(DD$3:DD$105=AP147)*DB$3:DB$105)+SUMPRODUCT((DA$3:DA$105=AP149)*(DD$3:DD$105=AP147)*DB$3:DB$105)+SUMPRODUCT((DA$3:DA$105=AP150)*(DD$3:DD$105=AP147)*DB$3:DB$105)+SUMPRODUCT((DA$3:DA$105=AP146)*(DD$3:DD$105=AP147)*DB$3:DB$105)</f>
        <v>0</v>
      </c>
      <c r="AV147" s="231">
        <f>AT147-AU147+1000</f>
        <v>1000</v>
      </c>
      <c r="AW147" s="231" t="str">
        <f t="shared" ref="AW147:AW149" si="247">IF(AP147&lt;&gt;"",AQ147*3+AR147*1,"")</f>
        <v/>
      </c>
      <c r="AX147" s="231" t="str">
        <f>IF(AP147&lt;&gt;"",VLOOKUP(AP147,C$4:I$70,7,FALSE),"")</f>
        <v/>
      </c>
      <c r="AY147" s="231" t="str">
        <f>IF(AP147&lt;&gt;"",VLOOKUP(AP147,C$4:I$70,5,FALSE),"")</f>
        <v/>
      </c>
      <c r="AZ147" s="231" t="str">
        <f>IF(AP147&lt;&gt;"",VLOOKUP(AP147,C$4:K$70,9,FALSE),"")</f>
        <v/>
      </c>
      <c r="BA147" s="231" t="str">
        <f t="shared" ref="BA147:BA149" si="248">AW147</f>
        <v/>
      </c>
      <c r="BB147" s="231" t="str">
        <f>IF(AP147&lt;&gt;"",RANK(BA147,BA146:BA149),"")</f>
        <v/>
      </c>
      <c r="BC147" s="231" t="str">
        <f>IF(AP147&lt;&gt;"",SUMPRODUCT((BA146:BA149=BA147)*(AV146:AV149&gt;AV147)),"")</f>
        <v/>
      </c>
      <c r="BD147" s="231" t="str">
        <f>IF(AP147&lt;&gt;"",SUMPRODUCT((BA146:BA149=BA147)*(AV146:AV149=AV147)*(AT146:AT149&gt;AT147)),"")</f>
        <v/>
      </c>
      <c r="BE147" s="231" t="str">
        <f>IF(AP147&lt;&gt;"",SUMPRODUCT((BA146:BA149=BA147)*(AV146:AV149=AV147)*(AT146:AT149=AT147)*(AX146:AX149&gt;AX147)),"")</f>
        <v/>
      </c>
      <c r="BF147" s="231" t="str">
        <f>IF(AP147&lt;&gt;"",SUMPRODUCT((BA146:BA149=BA147)*(AV146:AV149=AV147)*(AT146:AT149=AT147)*(AX146:AX149=AX147)*(AY146:AY149&gt;AY147)),"")</f>
        <v/>
      </c>
      <c r="BG147" s="231" t="str">
        <f>IF(AP147&lt;&gt;"",SUMPRODUCT((BA146:BA149=BA147)*(AV146:AV149=AV147)*(AT146:AT149=AT147)*(AX146:AX149=AX147)*(AY146:AY149=AY147)*(AZ146:AZ149&gt;AZ147)),"")</f>
        <v/>
      </c>
      <c r="BH147" s="231" t="str">
        <f>IF(AP147&lt;&gt;"",SUM(BB147:BG147)+1,"")</f>
        <v/>
      </c>
      <c r="DX147" s="230"/>
      <c r="DY147" s="230"/>
      <c r="DZ147" s="230"/>
      <c r="EA147" s="237"/>
      <c r="EB147" s="230"/>
      <c r="EC147" s="230"/>
    </row>
    <row r="148" spans="4:133" x14ac:dyDescent="0.25">
      <c r="J148" s="231">
        <f>IF(COUNTIF(J$67:J$70,4)=4,1,SUMPRODUCT((J$67:J$70=J69)*(I$67:I$70=I69)*(G$67:G$70&gt;G69))+1)</f>
        <v>1</v>
      </c>
      <c r="U148" s="231">
        <f>IF(V69&lt;&gt;"",SUMPRODUCT((AC$67:AC$70=AC69)*(AB$67:AB$70=AB69)*(Z$67:Z$70=Z69)*(AA$67:AA$70=AA69)),"")</f>
        <v>4</v>
      </c>
      <c r="V148" s="231" t="str">
        <f>IF(AND(U148&lt;&gt;"",U148&gt;1),V69,"")</f>
        <v>Colombia</v>
      </c>
      <c r="W148" s="231">
        <f>SUMPRODUCT((DA$3:DA$105=V148)*(DD$3:DD$105=V149)*(DE$3:DE$105="W"))+SUMPRODUCT((DA$3:DA$105=V148)*(DD$3:DD$105=V150)*(DE$3:DE$105="W"))+SUMPRODUCT((DA$3:DA$105=V148)*(DD$3:DD$105=V146)*(DE$3:DE$105="W"))+SUMPRODUCT((DA$3:DA$105=V148)*(DD$3:DD$105=V147)*(DE$3:DE$105="W"))+SUMPRODUCT((DA$3:DA$105=V149)*(DD$3:DD$105=V148)*(DF$3:DF$105="W"))+SUMPRODUCT((DA$3:DA$105=V150)*(DD$3:DD$105=V148)*(DF$3:DF$105="W"))+SUMPRODUCT((DA$3:DA$105=V146)*(DD$3:DD$105=V148)*(DF$3:DF$105="W"))+SUMPRODUCT((DA$3:DA$105=V147)*(DD$3:DD$105=V148)*(DF$3:DF$105="W"))</f>
        <v>0</v>
      </c>
      <c r="X148" s="231">
        <f>SUMPRODUCT((DA$3:DA$105=V148)*(DD$3:DD$105=V149)*(DE$3:DE$105="D"))+SUMPRODUCT((DA$3:DA$105=V148)*(DD$3:DD$105=V150)*(DE$3:DE$105="D"))+SUMPRODUCT((DA$3:DA$105=V148)*(DD$3:DD$105=V146)*(DE$3:DE$105="D"))+SUMPRODUCT((DA$3:DA$105=V148)*(DD$3:DD$105=V147)*(DE$3:DE$105="D"))+SUMPRODUCT((DA$3:DA$105=V149)*(DD$3:DD$105=V148)*(DE$3:DE$105="D"))+SUMPRODUCT((DA$3:DA$105=V150)*(DD$3:DD$105=V148)*(DE$3:DE$105="D"))+SUMPRODUCT((DA$3:DA$105=V146)*(DD$3:DD$105=V148)*(DE$3:DE$105="D"))+SUMPRODUCT((DA$3:DA$105=V147)*(DD$3:DD$105=V148)*(DE$3:DE$105="D"))</f>
        <v>0</v>
      </c>
      <c r="Y148" s="231">
        <f>SUMPRODUCT((DA$3:DA$105=V148)*(DD$3:DD$105=V149)*(DE$3:DE$105="L"))+SUMPRODUCT((DA$3:DA$105=V148)*(DD$3:DD$105=V150)*(DE$3:DE$105="L"))+SUMPRODUCT((DA$3:DA$105=V148)*(DD$3:DD$105=V146)*(DE$3:DE$105="L"))+SUMPRODUCT((DA$3:DA$105=V148)*(DD$3:DD$105=V147)*(DE$3:DE$105="L"))+SUMPRODUCT((DA$3:DA$105=V149)*(DD$3:DD$105=V148)*(DF$3:DF$105="L"))+SUMPRODUCT((DA$3:DA$105=V150)*(DD$3:DD$105=V148)*(DF$3:DF$105="L"))+SUMPRODUCT((DA$3:DA$105=V146)*(DD$3:DD$105=V148)*(DF$3:DF$105="L"))+SUMPRODUCT((DA$3:DA$105=V147)*(DD$3:DD$105=V148)*(DF$3:DF$105="L"))</f>
        <v>0</v>
      </c>
      <c r="Z148" s="231">
        <f>SUMPRODUCT((DA$3:DA$105=V148)*(DD$3:DD$105=V149)*DB$3:DB$105)+SUMPRODUCT((DA$3:DA$105=V148)*(DD$3:DD$105=V150)*DB$3:DB$105)+SUMPRODUCT((DA$3:DA$105=V148)*(DD$3:DD$105=V146)*DB$3:DB$105)+SUMPRODUCT((DA$3:DA$105=V148)*(DD$3:DD$105=V147)*DB$3:DB$105)+SUMPRODUCT((DA$3:DA$105=V149)*(DD$3:DD$105=V148)*DC$3:DC$105)+SUMPRODUCT((DA$3:DA$105=V150)*(DD$3:DD$105=V148)*DC$3:DC$105)+SUMPRODUCT((DA$3:DA$105=V146)*(DD$3:DD$105=V148)*DC$3:DC$105)+SUMPRODUCT((DA$3:DA$105=V147)*(DD$3:DD$105=V148)*DC$3:DC$105)</f>
        <v>0</v>
      </c>
      <c r="AA148" s="231">
        <f>SUMPRODUCT((DA$3:DA$105=V148)*(DD$3:DD$105=V149)*DC$3:DC$105)+SUMPRODUCT((DA$3:DA$105=V148)*(DD$3:DD$105=V150)*DC$3:DC$105)+SUMPRODUCT((DA$3:DA$105=V148)*(DD$3:DD$105=V146)*DC$3:DC$105)+SUMPRODUCT((DA$3:DA$105=V148)*(DD$3:DD$105=V147)*DC$3:DC$105)+SUMPRODUCT((DA$3:DA$105=V149)*(DD$3:DD$105=V148)*DB$3:DB$105)+SUMPRODUCT((DA$3:DA$105=V150)*(DD$3:DD$105=V148)*DB$3:DB$105)+SUMPRODUCT((DA$3:DA$105=V146)*(DD$3:DD$105=V148)*DB$3:DB$105)+SUMPRODUCT((DA$3:DA$105=V147)*(DD$3:DD$105=V148)*DB$3:DB$105)</f>
        <v>0</v>
      </c>
      <c r="AB148" s="231">
        <f>Z148-AA148+1000</f>
        <v>1000</v>
      </c>
      <c r="AC148" s="231">
        <f t="shared" si="243"/>
        <v>0</v>
      </c>
      <c r="AD148" s="231">
        <f>IF(V148&lt;&gt;"",VLOOKUP(V148,C$4:I$70,7,FALSE),"")</f>
        <v>1000</v>
      </c>
      <c r="AE148" s="231">
        <f>IF(V148&lt;&gt;"",VLOOKUP(V148,C$4:I$70,5,FALSE),"")</f>
        <v>0</v>
      </c>
      <c r="AF148" s="231">
        <f>IF(V148&lt;&gt;"",VLOOKUP(V148,C$4:K$70,9,FALSE),"")</f>
        <v>-114</v>
      </c>
      <c r="AG148" s="231">
        <f t="shared" si="244"/>
        <v>0</v>
      </c>
      <c r="AH148" s="231">
        <f t="shared" si="245"/>
        <v>1</v>
      </c>
      <c r="AI148" s="231">
        <f>IF(V148&lt;&gt;"",SUMPRODUCT((AG$146:AG$149=AG148)*(AB$146:AB$149&gt;AB148)),"")</f>
        <v>0</v>
      </c>
      <c r="AJ148" s="231">
        <f>IF(V148&lt;&gt;"",SUMPRODUCT((AG$146:AG$149=AG148)*(AB$146:AB$149=AB148)*(Z$146:Z$149&gt;Z148)),"")</f>
        <v>0</v>
      </c>
      <c r="AK148" s="231">
        <f>IF(V148&lt;&gt;"",SUMPRODUCT((AG$146:AG$149=AG148)*(AB$146:AB$149=AB148)*(Z$146:Z$149=Z148)*(AD$146:AD$149&gt;AD148)),"")</f>
        <v>0</v>
      </c>
      <c r="AL148" s="231">
        <f>IF(V148&lt;&gt;"",SUMPRODUCT((AG$146:AG$149=AG148)*(AB$146:AB$149=AB148)*(Z$146:Z$149=Z148)*(AD$146:AD$149=AD148)*(AE$146:AE$149&gt;AE148)),"")</f>
        <v>0</v>
      </c>
      <c r="AM148" s="231">
        <f>IF(V148&lt;&gt;"",SUMPRODUCT((AG$146:AG$149=AG148)*(AB$146:AB$149=AB148)*(Z$146:Z$149=Z148)*(AD$146:AD$149=AD148)*(AE$146:AE$149=AE148)*(AF$146:AF$149&gt;AF148)),"")</f>
        <v>1</v>
      </c>
      <c r="AN148" s="231">
        <f t="shared" si="246"/>
        <v>2</v>
      </c>
      <c r="AO148" s="231" t="str">
        <f>IF(AP69&lt;&gt;"",SUMPRODUCT((AW$67:AW$70=AW69)*(AV$67:AV$70=AV69)*(AT$67:AT$70=AT69)*(AU$67:AU$70=AU69)),"")</f>
        <v/>
      </c>
      <c r="AP148" s="231" t="str">
        <f>IF(AND(AO148&lt;&gt;"",AO148&gt;1),AP69,"")</f>
        <v/>
      </c>
      <c r="AQ148" s="231">
        <f>SUMPRODUCT((DA$3:DA$105=AP148)*(DD$3:DD$105=AP149)*(DE$3:DE$105="W"))+SUMPRODUCT((DA$3:DA$105=AP148)*(DD$3:DD$105=AP150)*(DE$3:DE$105="W"))+SUMPRODUCT((DA$3:DA$105=AP148)*(DD$3:DD$105=AP147)*(DE$3:DE$105="W"))+SUMPRODUCT((DA$3:DA$105=AP149)*(DD$3:DD$105=AP148)*(DF$3:DF$105="W"))+SUMPRODUCT((DA$3:DA$105=AP150)*(DD$3:DD$105=AP148)*(DF$3:DF$105="W"))+SUMPRODUCT((DA$3:DA$105=AP147)*(DD$3:DD$105=AP148)*(DF$3:DF$105="W"))</f>
        <v>0</v>
      </c>
      <c r="AR148" s="231">
        <f>SUMPRODUCT((DA$3:DA$105=AP148)*(DD$3:DD$105=AP149)*(DE$3:DE$105="D"))+SUMPRODUCT((DA$3:DA$105=AP148)*(DD$3:DD$105=AP150)*(DE$3:DE$105="D"))+SUMPRODUCT((DA$3:DA$105=AP148)*(DD$3:DD$105=AP147)*(DE$3:DE$105="D"))+SUMPRODUCT((DA$3:DA$105=AP149)*(DD$3:DD$105=AP148)*(DE$3:DE$105="D"))+SUMPRODUCT((DA$3:DA$105=AP150)*(DD$3:DD$105=AP148)*(DE$3:DE$105="D"))+SUMPRODUCT((DA$3:DA$105=AP147)*(DD$3:DD$105=AP148)*(DE$3:DE$105="D"))</f>
        <v>0</v>
      </c>
      <c r="AS148" s="231">
        <f>SUMPRODUCT((DA$3:DA$105=AP148)*(DD$3:DD$105=AP149)*(DE$3:DE$105="L"))+SUMPRODUCT((DA$3:DA$105=AP148)*(DD$3:DD$105=AP150)*(DE$3:DE$105="L"))+SUMPRODUCT((DA$3:DA$105=AP148)*(DD$3:DD$105=AP147)*(DE$3:DE$105="L"))+SUMPRODUCT((DA$3:DA$105=AP149)*(DD$3:DD$105=AP148)*(DF$3:DF$105="L"))+SUMPRODUCT((DA$3:DA$105=AP150)*(DD$3:DD$105=AP148)*(DF$3:DF$105="L"))+SUMPRODUCT((DA$3:DA$105=AP147)*(DD$3:DD$105=AP148)*(DF$3:DF$105="L"))</f>
        <v>0</v>
      </c>
      <c r="AT148" s="231">
        <f>SUMPRODUCT((DA$3:DA$105=AP148)*(DD$3:DD$105=AP149)*DB$3:DB$105)+SUMPRODUCT((DA$3:DA$105=AP148)*(DD$3:DD$105=AP150)*DB$3:DB$105)+SUMPRODUCT((DA$3:DA$105=AP148)*(DD$3:DD$105=AP146)*DB$3:DB$105)+SUMPRODUCT((DA$3:DA$105=AP148)*(DD$3:DD$105=AP147)*DB$3:DB$105)+SUMPRODUCT((DA$3:DA$105=AP149)*(DD$3:DD$105=AP148)*DC$3:DC$105)+SUMPRODUCT((DA$3:DA$105=AP150)*(DD$3:DD$105=AP148)*DC$3:DC$105)+SUMPRODUCT((DA$3:DA$105=AP146)*(DD$3:DD$105=AP148)*DC$3:DC$105)+SUMPRODUCT((DA$3:DA$105=AP147)*(DD$3:DD$105=AP148)*DC$3:DC$105)</f>
        <v>0</v>
      </c>
      <c r="AU148" s="231">
        <f>SUMPRODUCT((DA$3:DA$105=AP148)*(DD$3:DD$105=AP149)*DC$3:DC$105)+SUMPRODUCT((DA$3:DA$105=AP148)*(DD$3:DD$105=AP150)*DC$3:DC$105)+SUMPRODUCT((DA$3:DA$105=AP148)*(DD$3:DD$105=AP146)*DC$3:DC$105)+SUMPRODUCT((DA$3:DA$105=AP148)*(DD$3:DD$105=AP147)*DC$3:DC$105)+SUMPRODUCT((DA$3:DA$105=AP149)*(DD$3:DD$105=AP148)*DB$3:DB$105)+SUMPRODUCT((DA$3:DA$105=AP150)*(DD$3:DD$105=AP148)*DB$3:DB$105)+SUMPRODUCT((DA$3:DA$105=AP146)*(DD$3:DD$105=AP148)*DB$3:DB$105)+SUMPRODUCT((DA$3:DA$105=AP147)*(DD$3:DD$105=AP148)*DB$3:DB$105)</f>
        <v>0</v>
      </c>
      <c r="AV148" s="231">
        <f>AT148-AU148+1000</f>
        <v>1000</v>
      </c>
      <c r="AW148" s="231" t="str">
        <f t="shared" si="247"/>
        <v/>
      </c>
      <c r="AX148" s="231" t="str">
        <f>IF(AP148&lt;&gt;"",VLOOKUP(AP148,C$4:I$70,7,FALSE),"")</f>
        <v/>
      </c>
      <c r="AY148" s="231" t="str">
        <f>IF(AP148&lt;&gt;"",VLOOKUP(AP148,C$4:I$70,5,FALSE),"")</f>
        <v/>
      </c>
      <c r="AZ148" s="231" t="str">
        <f>IF(AP148&lt;&gt;"",VLOOKUP(AP148,C$4:K$70,9,FALSE),"")</f>
        <v/>
      </c>
      <c r="BA148" s="231" t="str">
        <f t="shared" si="248"/>
        <v/>
      </c>
      <c r="BB148" s="231" t="str">
        <f>IF(AP148&lt;&gt;"",RANK(BA148,BA146:BA149),"")</f>
        <v/>
      </c>
      <c r="BC148" s="231" t="str">
        <f>IF(AP148&lt;&gt;"",SUMPRODUCT((BA146:BA149=BA148)*(AV146:AV149&gt;AV148)),"")</f>
        <v/>
      </c>
      <c r="BD148" s="231" t="str">
        <f>IF(AP148&lt;&gt;"",SUMPRODUCT((BA146:BA149=BA148)*(AV146:AV149=AV148)*(AT146:AT149&gt;AT148)),"")</f>
        <v/>
      </c>
      <c r="BE148" s="231" t="str">
        <f>IF(AP148&lt;&gt;"",SUMPRODUCT((BA146:BA149=BA148)*(AV146:AV149=AV148)*(AT146:AT149=AT148)*(AX146:AX149&gt;AX148)),"")</f>
        <v/>
      </c>
      <c r="BF148" s="231" t="str">
        <f>IF(AP148&lt;&gt;"",SUMPRODUCT((BA146:BA149=BA148)*(AV146:AV149=AV148)*(AT146:AT149=AT148)*(AX146:AX149=AX148)*(AY146:AY149&gt;AY148)),"")</f>
        <v/>
      </c>
      <c r="BG148" s="231" t="str">
        <f>IF(AP148&lt;&gt;"",SUMPRODUCT((BA146:BA149=BA148)*(AV146:AV149=AV148)*(AT146:AT149=AT148)*(AX146:AX149=AX148)*(AY146:AY149=AY148)*(AZ146:AZ149&gt;AZ148)),"")</f>
        <v/>
      </c>
      <c r="BH148" s="231" t="str">
        <f t="shared" ref="BH148:BH149" si="249">IF(AP148&lt;&gt;"",SUM(BB148:BG148)+1,"")</f>
        <v/>
      </c>
      <c r="DX148" s="230"/>
      <c r="DY148" s="230"/>
      <c r="DZ148" s="230"/>
      <c r="EA148" s="237"/>
      <c r="EB148" s="230"/>
      <c r="EC148" s="230"/>
    </row>
    <row r="149" spans="4:133" x14ac:dyDescent="0.25">
      <c r="J149" s="231">
        <f>IF(COUNTIF(J$67:J$70,4)=4,1,SUMPRODUCT((J$67:J$70=J70)*(I$67:I$70=I70)*(G$67:G$70&gt;G70))+1)</f>
        <v>1</v>
      </c>
      <c r="U149" s="231">
        <f>IF(V70&lt;&gt;"",SUMPRODUCT((AC$67:AC$70=AC70)*(AB$67:AB$70=AB70)*(Z$67:Z$70=Z70)*(AA$67:AA$70=AA70)),"")</f>
        <v>4</v>
      </c>
      <c r="V149" s="231" t="str">
        <f>IF(AND(U149&lt;&gt;"",U149&gt;1),V70,"")</f>
        <v>Portugal</v>
      </c>
      <c r="W149" s="231">
        <f>SUMPRODUCT((DA$3:DA$105=V149)*(DD$3:DD$105=V150)*(DE$3:DE$105="W"))+SUMPRODUCT((DA$3:DA$105=V149)*(DD$3:DD$105=V146)*(DE$3:DE$105="W"))+SUMPRODUCT((DA$3:DA$105=V149)*(DD$3:DD$105=V147)*(DE$3:DE$105="W"))+SUMPRODUCT((DA$3:DA$105=V149)*(DD$3:DD$105=V148)*(DE$3:DE$105="W"))+SUMPRODUCT((DA$3:DA$105=V150)*(DD$3:DD$105=V149)*(DF$3:DF$105="W"))+SUMPRODUCT((DA$3:DA$105=V146)*(DD$3:DD$105=V149)*(DF$3:DF$105="W"))+SUMPRODUCT((DA$3:DA$105=V147)*(DD$3:DD$105=V149)*(DF$3:DF$105="W"))+SUMPRODUCT((DA$3:DA$105=V148)*(DD$3:DD$105=V149)*(DF$3:DF$105="W"))</f>
        <v>0</v>
      </c>
      <c r="X149" s="231">
        <f>SUMPRODUCT((DA$3:DA$105=V149)*(DD$3:DD$105=V150)*(DE$3:DE$105="D"))+SUMPRODUCT((DA$3:DA$105=V149)*(DD$3:DD$105=V146)*(DE$3:DE$105="D"))+SUMPRODUCT((DA$3:DA$105=V149)*(DD$3:DD$105=V147)*(DE$3:DE$105="D"))+SUMPRODUCT((DA$3:DA$105=V149)*(DD$3:DD$105=V148)*(DE$3:DE$105="D"))+SUMPRODUCT((DA$3:DA$105=V150)*(DD$3:DD$105=V149)*(DE$3:DE$105="D"))+SUMPRODUCT((DA$3:DA$105=V146)*(DD$3:DD$105=V149)*(DE$3:DE$105="D"))+SUMPRODUCT((DA$3:DA$105=V147)*(DD$3:DD$105=V149)*(DE$3:DE$105="D"))+SUMPRODUCT((DA$3:DA$105=V148)*(DD$3:DD$105=V149)*(DE$3:DE$105="D"))</f>
        <v>0</v>
      </c>
      <c r="Y149" s="231">
        <f>SUMPRODUCT((DA$3:DA$105=V149)*(DD$3:DD$105=V150)*(DE$3:DE$105="L"))+SUMPRODUCT((DA$3:DA$105=V149)*(DD$3:DD$105=V146)*(DE$3:DE$105="L"))+SUMPRODUCT((DA$3:DA$105=V149)*(DD$3:DD$105=V147)*(DE$3:DE$105="L"))+SUMPRODUCT((DA$3:DA$105=V149)*(DD$3:DD$105=V148)*(DE$3:DE$105="L"))+SUMPRODUCT((DA$3:DA$105=V150)*(DD$3:DD$105=V149)*(DF$3:DF$105="L"))+SUMPRODUCT((DA$3:DA$105=V146)*(DD$3:DD$105=V149)*(DF$3:DF$105="L"))+SUMPRODUCT((DA$3:DA$105=V147)*(DD$3:DD$105=V149)*(DF$3:DF$105="L"))+SUMPRODUCT((DA$3:DA$105=V148)*(DD$3:DD$105=V149)*(DF$3:DF$105="L"))</f>
        <v>0</v>
      </c>
      <c r="Z149" s="231">
        <f>SUMPRODUCT((DA$3:DA$105=V149)*(DD$3:DD$105=V150)*DB$3:DB$105)+SUMPRODUCT((DA$3:DA$105=V149)*(DD$3:DD$105=V146)*DB$3:DB$105)+SUMPRODUCT((DA$3:DA$105=V149)*(DD$3:DD$105=V147)*DB$3:DB$105)+SUMPRODUCT((DA$3:DA$105=V149)*(DD$3:DD$105=V148)*DB$3:DB$105)+SUMPRODUCT((DA$3:DA$105=V150)*(DD$3:DD$105=V149)*DC$3:DC$105)+SUMPRODUCT((DA$3:DA$105=V146)*(DD$3:DD$105=V149)*DC$3:DC$105)+SUMPRODUCT((DA$3:DA$105=V147)*(DD$3:DD$105=V149)*DC$3:DC$105)+SUMPRODUCT((DA$3:DA$105=V148)*(DD$3:DD$105=V149)*DC$3:DC$105)</f>
        <v>0</v>
      </c>
      <c r="AA149" s="231">
        <f>SUMPRODUCT((DA$3:DA$105=V149)*(DD$3:DD$105=V150)*DC$3:DC$105)+SUMPRODUCT((DA$3:DA$105=V149)*(DD$3:DD$105=V146)*DC$3:DC$105)+SUMPRODUCT((DA$3:DA$105=V149)*(DD$3:DD$105=V147)*DC$3:DC$105)+SUMPRODUCT((DA$3:DA$105=V149)*(DD$3:DD$105=V148)*DC$3:DC$105)+SUMPRODUCT((DA$3:DA$105=V150)*(DD$3:DD$105=V149)*DB$3:DB$105)+SUMPRODUCT((DA$3:DA$105=V146)*(DD$3:DD$105=V149)*DB$3:DB$105)+SUMPRODUCT((DA$3:DA$105=V147)*(DD$3:DD$105=V149)*DB$3:DB$105)+SUMPRODUCT((DA$3:DA$105=V148)*(DD$3:DD$105=V149)*DB$3:DB$105)</f>
        <v>0</v>
      </c>
      <c r="AB149" s="231">
        <f>Z149-AA149+1000</f>
        <v>1000</v>
      </c>
      <c r="AC149" s="231">
        <f t="shared" si="243"/>
        <v>0</v>
      </c>
      <c r="AD149" s="231">
        <f>IF(V149&lt;&gt;"",VLOOKUP(V149,C$4:I$70,7,FALSE),"")</f>
        <v>1000</v>
      </c>
      <c r="AE149" s="231">
        <f>IF(V149&lt;&gt;"",VLOOKUP(V149,C$4:I$70,5,FALSE),"")</f>
        <v>0</v>
      </c>
      <c r="AF149" s="231">
        <f>IF(V149&lt;&gt;"",VLOOKUP(V149,C$4:K$70,9,FALSE),"")</f>
        <v>-106</v>
      </c>
      <c r="AG149" s="231">
        <f t="shared" si="244"/>
        <v>0</v>
      </c>
      <c r="AH149" s="231">
        <f t="shared" si="245"/>
        <v>1</v>
      </c>
      <c r="AI149" s="231">
        <f>IF(V149&lt;&gt;"",SUMPRODUCT((AG$146:AG$149=AG149)*(AB$146:AB$149&gt;AB149)),"")</f>
        <v>0</v>
      </c>
      <c r="AJ149" s="231">
        <f>IF(V149&lt;&gt;"",SUMPRODUCT((AG$146:AG$149=AG149)*(AB$146:AB$149=AB149)*(Z$146:Z$149&gt;Z149)),"")</f>
        <v>0</v>
      </c>
      <c r="AK149" s="231">
        <f>IF(V149&lt;&gt;"",SUMPRODUCT((AG$146:AG$149=AG149)*(AB$146:AB$149=AB149)*(Z$146:Z$149=Z149)*(AD$146:AD$149&gt;AD149)),"")</f>
        <v>0</v>
      </c>
      <c r="AL149" s="231">
        <f>IF(V149&lt;&gt;"",SUMPRODUCT((AG$146:AG$149=AG149)*(AB$146:AB$149=AB149)*(Z$146:Z$149=Z149)*(AD$146:AD$149=AD149)*(AE$146:AE$149&gt;AE149)),"")</f>
        <v>0</v>
      </c>
      <c r="AM149" s="231">
        <f>IF(V149&lt;&gt;"",SUMPRODUCT((AG$146:AG$149=AG149)*(AB$146:AB$149=AB149)*(Z$146:Z$149=Z149)*(AD$146:AD$149=AD149)*(AE$146:AE$149=AE149)*(AF$146:AF$149&gt;AF149)),"")</f>
        <v>0</v>
      </c>
      <c r="AN149" s="231">
        <f t="shared" si="246"/>
        <v>1</v>
      </c>
      <c r="AO149" s="231" t="str">
        <f>IF(AP70&lt;&gt;"",SUMPRODUCT((AW$67:AW$70=AW70)*(AV$67:AV$70=AV70)*(AT$67:AT$70=AT70)*(AU$67:AU$70=AU70)),"")</f>
        <v/>
      </c>
      <c r="AP149" s="231" t="str">
        <f>IF(AND(AO149&lt;&gt;"",AO149&gt;1),AP70,"")</f>
        <v/>
      </c>
      <c r="AQ149" s="231" t="str">
        <f>IF(AP149&lt;&gt;"",SUMPRODUCT((DA$3:DA$105=AP149)*(DD$3:DD$105=AP150)*(DE$3:DE$105="W"))+SUMPRODUCT((DA$3:DA$105=AP149)*(DD$3:DD$105=AP147)*(DE$3:DE$105="W"))+SUMPRODUCT((DA$3:DA$105=AP149)*(DD$3:DD$105=AP148)*(DE$3:DE$105="W"))+SUMPRODUCT((DA$3:DA$105=AP150)*(DD$3:DD$105=AP149)*(DF$3:DF$105="W"))+SUMPRODUCT((DA$3:DA$105=AP147)*(DD$3:DD$105=AP149)*(DF$3:DF$105="W"))+SUMPRODUCT((DA$3:DA$105=AP148)*(DD$3:DD$105=AP149)*(DF$3:DF$105="W")),"")</f>
        <v/>
      </c>
      <c r="AR149" s="231" t="str">
        <f>IF(AP149&lt;&gt;"",SUMPRODUCT((DA$3:DA$105=AP149)*(DD$3:DD$105=AP150)*(DE$3:DE$105="D"))+SUMPRODUCT((DA$3:DA$105=AP149)*(DD$3:DD$105=AP147)*(DE$3:DE$105="D"))+SUMPRODUCT((DA$3:DA$105=AP149)*(DD$3:DD$105=AP148)*(DE$3:DE$105="D"))+SUMPRODUCT((DA$3:DA$105=AP150)*(DD$3:DD$105=AP149)*(DE$3:DE$105="D"))+SUMPRODUCT((DA$3:DA$105=AP147)*(DD$3:DD$105=AP149)*(DE$3:DE$105="D"))+SUMPRODUCT((DA$3:DA$105=AP148)*(DD$3:DD$105=AP149)*(DE$3:DE$105="D")),"")</f>
        <v/>
      </c>
      <c r="AS149" s="231" t="str">
        <f>IF(AP149&lt;&gt;"",SUMPRODUCT((DA$3:DA$105=AP149)*(DD$3:DD$105=AP150)*(DE$3:DE$105="L"))+SUMPRODUCT((DA$3:DA$105=AP149)*(DD$3:DD$105=AP147)*(DE$3:DE$105="L"))+SUMPRODUCT((DA$3:DA$105=AP149)*(DD$3:DD$105=AP148)*(DE$3:DE$105="L"))+SUMPRODUCT((DA$3:DA$105=AP150)*(DD$3:DD$105=AP149)*(DF$3:DF$105="L"))+SUMPRODUCT((DA$3:DA$105=AP147)*(DD$3:DD$105=AP149)*(DF$3:DF$105="L"))+SUMPRODUCT((DA$3:DA$105=AP148)*(DD$3:DD$105=AP149)*(DF$3:DF$105="L")),"")</f>
        <v/>
      </c>
      <c r="AT149" s="231">
        <f>SUMPRODUCT((DA$3:DA$105=AP149)*(DD$3:DD$105=AP150)*DB$3:DB$105)+SUMPRODUCT((DA$3:DA$105=AP149)*(DD$3:DD$105=AP146)*DB$3:DB$105)+SUMPRODUCT((DA$3:DA$105=AP149)*(DD$3:DD$105=AP147)*DB$3:DB$105)+SUMPRODUCT((DA$3:DA$105=AP149)*(DD$3:DD$105=AP148)*DB$3:DB$105)+SUMPRODUCT((DA$3:DA$105=AP150)*(DD$3:DD$105=AP149)*DC$3:DC$105)+SUMPRODUCT((DA$3:DA$105=AP146)*(DD$3:DD$105=AP149)*DC$3:DC$105)+SUMPRODUCT((DA$3:DA$105=AP147)*(DD$3:DD$105=AP149)*DC$3:DC$105)+SUMPRODUCT((DA$3:DA$105=AP148)*(DD$3:DD$105=AP149)*DC$3:DC$105)</f>
        <v>0</v>
      </c>
      <c r="AU149" s="231">
        <f>SUMPRODUCT((DA$3:DA$105=AP149)*(DD$3:DD$105=AP150)*DC$3:DC$105)+SUMPRODUCT((DA$3:DA$105=AP149)*(DD$3:DD$105=AP146)*DC$3:DC$105)+SUMPRODUCT((DA$3:DA$105=AP149)*(DD$3:DD$105=AP147)*DC$3:DC$105)+SUMPRODUCT((DA$3:DA$105=AP149)*(DD$3:DD$105=AP148)*DC$3:DC$105)+SUMPRODUCT((DA$3:DA$105=AP150)*(DD$3:DD$105=AP149)*DB$3:DB$105)+SUMPRODUCT((DA$3:DA$105=AP146)*(DD$3:DD$105=AP149)*DB$3:DB$105)+SUMPRODUCT((DA$3:DA$105=AP147)*(DD$3:DD$105=AP149)*DB$3:DB$105)+SUMPRODUCT((DA$3:DA$105=AP148)*(DD$3:DD$105=AP149)*DB$3:DB$105)</f>
        <v>0</v>
      </c>
      <c r="AV149" s="231">
        <f>AT149-AU149+1000</f>
        <v>1000</v>
      </c>
      <c r="AW149" s="231" t="str">
        <f t="shared" si="247"/>
        <v/>
      </c>
      <c r="AX149" s="231" t="str">
        <f>IF(AP149&lt;&gt;"",VLOOKUP(AP149,C$4:I$70,7,FALSE),"")</f>
        <v/>
      </c>
      <c r="AY149" s="231" t="str">
        <f>IF(AP149&lt;&gt;"",VLOOKUP(AP149,C$4:I$70,5,FALSE),"")</f>
        <v/>
      </c>
      <c r="AZ149" s="231" t="str">
        <f>IF(AP149&lt;&gt;"",VLOOKUP(AP149,C$4:K$70,9,FALSE),"")</f>
        <v/>
      </c>
      <c r="BA149" s="231" t="str">
        <f t="shared" si="248"/>
        <v/>
      </c>
      <c r="BB149" s="231" t="str">
        <f>IF(AP149&lt;&gt;"",RANK(BA149,BA146:BA149),"")</f>
        <v/>
      </c>
      <c r="BC149" s="231" t="str">
        <f>IF(AP149&lt;&gt;"",SUMPRODUCT((BA146:BA149=BA149)*(AV146:AV149&gt;AV149)),"")</f>
        <v/>
      </c>
      <c r="BD149" s="231" t="str">
        <f>IF(AP149&lt;&gt;"",SUMPRODUCT((BA146:BA149=BA149)*(AV146:AV149=AV149)*(AT146:AT149&gt;AT149)),"")</f>
        <v/>
      </c>
      <c r="BE149" s="231" t="str">
        <f>IF(AP149&lt;&gt;"",SUMPRODUCT((BA146:BA149=BA149)*(AV146:AV149=AV149)*(AT146:AT149=AT149)*(AX146:AX149&gt;AX149)),"")</f>
        <v/>
      </c>
      <c r="BF149" s="231" t="str">
        <f>IF(AP149&lt;&gt;"",SUMPRODUCT((BA146:BA149=BA149)*(AV146:AV149=AV149)*(AT146:AT149=AT149)*(AX146:AX149=AX149)*(AY146:AY149&gt;AY149)),"")</f>
        <v/>
      </c>
      <c r="BG149" s="231" t="str">
        <f>IF(AP149&lt;&gt;"",SUMPRODUCT((BA146:BA149=BA149)*(AV146:AV149=AV149)*(AT146:AT149=AT149)*(AX146:AX149=AX149)*(AY146:AY149=AY149)*(AZ146:AZ149&gt;AZ149)),"")</f>
        <v/>
      </c>
      <c r="BH149" s="231" t="str">
        <f t="shared" si="249"/>
        <v/>
      </c>
      <c r="DX149" s="230"/>
      <c r="DY149" s="230"/>
      <c r="DZ149" s="230"/>
      <c r="EA149" s="237"/>
      <c r="EB149" s="230"/>
      <c r="EC149" s="230"/>
    </row>
    <row r="150" spans="4:133" x14ac:dyDescent="0.25">
      <c r="DX150" s="230"/>
      <c r="DY150" s="230"/>
      <c r="DZ150" s="230"/>
      <c r="EA150" s="237"/>
      <c r="EB150" s="230"/>
      <c r="EC150" s="230"/>
    </row>
    <row r="151" spans="4:133" ht="18.75" customHeight="1" x14ac:dyDescent="0.25">
      <c r="U151" s="231">
        <f>IF(V152="",SUM(AH73:AM73),IF(V153="",SUM(AH74:AM74),IF(V154="",SUM(AH75:AM75),IF(V155="",SUM(AH76:AM76),0))))</f>
        <v>0</v>
      </c>
      <c r="AO151" s="231">
        <f>IF(AP153="",SUM(BB74:BG74),IF(AP154="",SUM(BB75:BG75),IF(AP155="",SUM(BB76:BG76),0)))</f>
        <v>0</v>
      </c>
      <c r="DX151" s="230"/>
      <c r="DY151" s="230"/>
      <c r="DZ151" s="230"/>
      <c r="EA151" s="237"/>
      <c r="EB151" s="230"/>
      <c r="EC151" s="230"/>
    </row>
    <row r="152" spans="4:133" x14ac:dyDescent="0.25">
      <c r="J152" s="231">
        <f>IF(COUNTIF(J$73:J$76,4)=4,1,SUMPRODUCT((J$73:J$76=J73)*(I$73:I$76=I73)*(G$73:G$76&gt;G73))+1)</f>
        <v>1</v>
      </c>
      <c r="U152" s="231">
        <f>IF(V73&lt;&gt;"",SUMPRODUCT((AC$73:AC$76=AC73)*(AB$73:AB$76=AB73)*(Z$73:Z$76=Z73)*(AA$73:AA$76=AA73)),"")</f>
        <v>4</v>
      </c>
      <c r="V152" s="231" t="str">
        <f>IF(AND(U152&lt;&gt;"",U152&gt;1),V73,"")</f>
        <v>Ghana</v>
      </c>
      <c r="W152" s="231">
        <f>SUMPRODUCT((DA$3:DA$105=V152)*(DD$3:DD$105=V153)*(DE$3:DE$105="W"))+SUMPRODUCT((DA$3:DA$105=V152)*(DD$3:DD$105=V154)*(DE$3:DE$105="W"))+SUMPRODUCT((DA$3:DA$105=V152)*(DD$3:DD$105=V155)*(DE$3:DE$105="W"))+SUMPRODUCT((DA$3:DA$105=V152)*(DD$3:DD$105=V156)*(DE$3:DE$105="W"))+SUMPRODUCT((DA$3:DA$105=V153)*(DD$3:DD$105=V152)*(DF$3:DF$105="W"))+SUMPRODUCT((DA$3:DA$105=V154)*(DD$3:DD$105=V152)*(DF$3:DF$105="W"))+SUMPRODUCT((DA$3:DA$105=V155)*(DD$3:DD$105=V152)*(DF$3:DF$105="W"))+SUMPRODUCT((DA$3:DA$105=V156)*(DD$3:DD$105=V152)*(DF$3:DF$105="W"))</f>
        <v>0</v>
      </c>
      <c r="X152" s="231">
        <f>SUMPRODUCT((DA$3:DA$105=V152)*(DD$3:DD$105=V153)*(DE$3:DE$105="D"))+SUMPRODUCT((DA$3:DA$105=V152)*(DD$3:DD$105=V154)*(DE$3:DE$105="D"))+SUMPRODUCT((DA$3:DA$105=V152)*(DD$3:DD$105=V155)*(DE$3:DE$105="D"))+SUMPRODUCT((DA$3:DA$105=V152)*(DD$3:DD$105=V156)*(DE$3:DE$105="D"))+SUMPRODUCT((DA$3:DA$105=V153)*(DD$3:DD$105=V152)*(DE$3:DE$105="D"))+SUMPRODUCT((DA$3:DA$105=V154)*(DD$3:DD$105=V152)*(DE$3:DE$105="D"))+SUMPRODUCT((DA$3:DA$105=V155)*(DD$3:DD$105=V152)*(DE$3:DE$105="D"))+SUMPRODUCT((DA$3:DA$105=V156)*(DD$3:DD$105=V152)*(DE$3:DE$105="D"))</f>
        <v>0</v>
      </c>
      <c r="Y152" s="231">
        <f>SUMPRODUCT((DA$3:DA$105=V152)*(DD$3:DD$105=V153)*(DE$3:DE$105="L"))+SUMPRODUCT((DA$3:DA$105=V152)*(DD$3:DD$105=V154)*(DE$3:DE$105="L"))+SUMPRODUCT((DA$3:DA$105=V152)*(DD$3:DD$105=V155)*(DE$3:DE$105="L"))+SUMPRODUCT((DA$3:DA$105=V152)*(DD$3:DD$105=V156)*(DE$3:DE$105="L"))+SUMPRODUCT((DA$3:DA$105=V153)*(DD$3:DD$105=V152)*(DF$3:DF$105="L"))+SUMPRODUCT((DA$3:DA$105=V154)*(DD$3:DD$105=V152)*(DF$3:DF$105="L"))+SUMPRODUCT((DA$3:DA$105=V155)*(DD$3:DD$105=V152)*(DF$3:DF$105="L"))+SUMPRODUCT((DA$3:DA$105=V156)*(DD$3:DD$105=V152)*(DF$3:DF$105="L"))</f>
        <v>0</v>
      </c>
      <c r="Z152" s="231">
        <f>SUMPRODUCT((DA$3:DA$105=V152)*(DD$3:DD$105=V153)*DB$3:DB$105)+SUMPRODUCT((DA$3:DA$105=V152)*(DD$3:DD$105=V154)*DB$3:DB$105)+SUMPRODUCT((DA$3:DA$105=V152)*(DD$3:DD$105=V155)*DB$3:DB$105)+SUMPRODUCT((DA$3:DA$105=V152)*(DD$3:DD$105=V156)*DB$3:DB$105)+SUMPRODUCT((DA$3:DA$105=V153)*(DD$3:DD$105=V152)*DC$3:DC$105)+SUMPRODUCT((DA$3:DA$105=V154)*(DD$3:DD$105=V152)*DC$3:DC$105)+SUMPRODUCT((DA$3:DA$105=V155)*(DD$3:DD$105=V152)*DC$3:DC$105)+SUMPRODUCT((DA$3:DA$105=V156)*(DD$3:DD$105=V152)*DC$3:DC$105)</f>
        <v>0</v>
      </c>
      <c r="AA152" s="231">
        <f>SUMPRODUCT((DA$3:DA$105=V152)*(DD$3:DD$105=V153)*DC$3:DC$105)+SUMPRODUCT((DA$3:DA$105=V152)*(DD$3:DD$105=V154)*DC$3:DC$105)+SUMPRODUCT((DA$3:DA$105=V152)*(DD$3:DD$105=V155)*DC$3:DC$105)+SUMPRODUCT((DA$3:DA$105=V152)*(DD$3:DD$105=V156)*DC$3:DC$105)+SUMPRODUCT((DA$3:DA$105=V153)*(DD$3:DD$105=V152)*DB$3:DB$105)+SUMPRODUCT((DA$3:DA$105=V154)*(DD$3:DD$105=V152)*DB$3:DB$105)+SUMPRODUCT((DA$3:DA$105=V155)*(DD$3:DD$105=V152)*DB$3:DB$105)+SUMPRODUCT((DA$3:DA$105=V156)*(DD$3:DD$105=V152)*DB$3:DB$105)</f>
        <v>0</v>
      </c>
      <c r="AB152" s="231">
        <f>Z152-AA152+1000</f>
        <v>1000</v>
      </c>
      <c r="AC152" s="231">
        <f>IF(V152&lt;&gt;"",W152*3+X152*1,"")</f>
        <v>0</v>
      </c>
      <c r="AD152" s="231">
        <f>IF(V152&lt;&gt;"",VLOOKUP(V152,C$4:I$76,7,FALSE),"")</f>
        <v>1000</v>
      </c>
      <c r="AE152" s="231">
        <f>IF(V152&lt;&gt;"",VLOOKUP(V152,C$4:I$76,5,FALSE),"")</f>
        <v>0</v>
      </c>
      <c r="AF152" s="231">
        <f>IF(V152&lt;&gt;"",VLOOKUP(V152,C$4:K$76,9,FALSE),"")</f>
        <v>-172</v>
      </c>
      <c r="AG152" s="231">
        <f>AC152</f>
        <v>0</v>
      </c>
      <c r="AH152" s="231">
        <f>IF(V152&lt;&gt;"",RANK(AG152,AG$152:AG$155),"")</f>
        <v>1</v>
      </c>
      <c r="AI152" s="231">
        <f>IF(V152&lt;&gt;"",SUMPRODUCT((AG$152:AG$155=AG152)*(AB$152:AB$155&gt;AB152)),"")</f>
        <v>0</v>
      </c>
      <c r="AJ152" s="231">
        <f>IF(V152&lt;&gt;"",SUMPRODUCT((AG$152:AG$155=AG152)*(AB$152:AB$155=AB152)*(Z$152:Z$155&gt;Z152)),"")</f>
        <v>0</v>
      </c>
      <c r="AK152" s="231">
        <f>IF(V152&lt;&gt;"",SUMPRODUCT((AG$152:AG$155=AG152)*(AB$152:AB$155=AB152)*(Z$152:Z$155=Z152)*(AD$152:AD$155&gt;AD152)),"")</f>
        <v>0</v>
      </c>
      <c r="AL152" s="231">
        <f>IF(V152&lt;&gt;"",SUMPRODUCT((AG$152:AG$155=AG152)*(AB$152:AB$155=AB152)*(Z$152:Z$155=Z152)*(AD$152:AD$155=AD152)*(AE$152:AE$155&gt;AE152)),"")</f>
        <v>0</v>
      </c>
      <c r="AM152" s="231">
        <f>IF(V152&lt;&gt;"",SUMPRODUCT((AG$152:AG$155=AG152)*(AB$152:AB$155=AB152)*(Z$152:Z$155=Z152)*(AD$152:AD$155=AD152)*(AE$152:AE$155=AE152)*(AF$152:AF$155&gt;AF152)),"")</f>
        <v>3</v>
      </c>
      <c r="AN152" s="231">
        <f>IF(V152&lt;&gt;"",SUM(AH152:AM152),"")</f>
        <v>4</v>
      </c>
      <c r="DX152" s="248"/>
      <c r="DY152" s="248"/>
      <c r="DZ152" s="248"/>
      <c r="EA152" s="248"/>
      <c r="EB152" s="249"/>
      <c r="EC152" s="249"/>
    </row>
    <row r="153" spans="4:133" x14ac:dyDescent="0.25">
      <c r="J153" s="231">
        <f>IF(COUNTIF(J$73:J$76,4)=4,1,SUMPRODUCT((J$73:J$76=J74)*(I$73:I$76=I74)*(G$73:G$76&gt;G74))+1)</f>
        <v>1</v>
      </c>
      <c r="U153" s="231">
        <f>IF(V74&lt;&gt;"",SUMPRODUCT((AC$73:AC$76=AC74)*(AB$73:AB$76=AB74)*(Z$73:Z$76=Z74)*(AA$73:AA$76=AA74)),"")</f>
        <v>4</v>
      </c>
      <c r="V153" s="231" t="str">
        <f>IF(AND(U153&lt;&gt;"",U153&gt;1),V74,"")</f>
        <v>Panama</v>
      </c>
      <c r="W153" s="231">
        <f>SUMPRODUCT((DA$3:DA$105=V153)*(DD$3:DD$105=V154)*(DE$3:DE$105="W"))+SUMPRODUCT((DA$3:DA$105=V153)*(DD$3:DD$105=V155)*(DE$3:DE$105="W"))+SUMPRODUCT((DA$3:DA$105=V153)*(DD$3:DD$105=V156)*(DE$3:DE$105="W"))+SUMPRODUCT((DA$3:DA$105=V153)*(DD$3:DD$105=V152)*(DE$3:DE$105="W"))+SUMPRODUCT((DA$3:DA$105=V154)*(DD$3:DD$105=V153)*(DF$3:DF$105="W"))+SUMPRODUCT((DA$3:DA$105=V155)*(DD$3:DD$105=V153)*(DF$3:DF$105="W"))+SUMPRODUCT((DA$3:DA$105=V156)*(DD$3:DD$105=V153)*(DF$3:DF$105="W"))+SUMPRODUCT((DA$3:DA$105=V152)*(DD$3:DD$105=V153)*(DF$3:DF$105="W"))</f>
        <v>0</v>
      </c>
      <c r="X153" s="231">
        <f>SUMPRODUCT((DA$3:DA$105=V153)*(DD$3:DD$105=V154)*(DE$3:DE$105="D"))+SUMPRODUCT((DA$3:DA$105=V153)*(DD$3:DD$105=V155)*(DE$3:DE$105="D"))+SUMPRODUCT((DA$3:DA$105=V153)*(DD$3:DD$105=V156)*(DE$3:DE$105="D"))+SUMPRODUCT((DA$3:DA$105=V153)*(DD$3:DD$105=V152)*(DE$3:DE$105="D"))+SUMPRODUCT((DA$3:DA$105=V154)*(DD$3:DD$105=V153)*(DE$3:DE$105="D"))+SUMPRODUCT((DA$3:DA$105=V155)*(DD$3:DD$105=V153)*(DE$3:DE$105="D"))+SUMPRODUCT((DA$3:DA$105=V156)*(DD$3:DD$105=V153)*(DE$3:DE$105="D"))+SUMPRODUCT((DA$3:DA$105=V152)*(DD$3:DD$105=V153)*(DE$3:DE$105="D"))</f>
        <v>0</v>
      </c>
      <c r="Y153" s="231">
        <f>SUMPRODUCT((DA$3:DA$105=V153)*(DD$3:DD$105=V154)*(DE$3:DE$105="L"))+SUMPRODUCT((DA$3:DA$105=V153)*(DD$3:DD$105=V155)*(DE$3:DE$105="L"))+SUMPRODUCT((DA$3:DA$105=V153)*(DD$3:DD$105=V156)*(DE$3:DE$105="L"))+SUMPRODUCT((DA$3:DA$105=V153)*(DD$3:DD$105=V152)*(DE$3:DE$105="L"))+SUMPRODUCT((DA$3:DA$105=V154)*(DD$3:DD$105=V153)*(DF$3:DF$105="L"))+SUMPRODUCT((DA$3:DA$105=V155)*(DD$3:DD$105=V153)*(DF$3:DF$105="L"))+SUMPRODUCT((DA$3:DA$105=V156)*(DD$3:DD$105=V153)*(DF$3:DF$105="L"))+SUMPRODUCT((DA$3:DA$105=V152)*(DD$3:DD$105=V153)*(DF$3:DF$105="L"))</f>
        <v>0</v>
      </c>
      <c r="Z153" s="231">
        <f>SUMPRODUCT((DA$3:DA$105=V153)*(DD$3:DD$105=V154)*DB$3:DB$105)+SUMPRODUCT((DA$3:DA$105=V153)*(DD$3:DD$105=V155)*DB$3:DB$105)+SUMPRODUCT((DA$3:DA$105=V153)*(DD$3:DD$105=V156)*DB$3:DB$105)+SUMPRODUCT((DA$3:DA$105=V153)*(DD$3:DD$105=V152)*DB$3:DB$105)+SUMPRODUCT((DA$3:DA$105=V154)*(DD$3:DD$105=V153)*DC$3:DC$105)+SUMPRODUCT((DA$3:DA$105=V155)*(DD$3:DD$105=V153)*DC$3:DC$105)+SUMPRODUCT((DA$3:DA$105=V156)*(DD$3:DD$105=V153)*DC$3:DC$105)+SUMPRODUCT((DA$3:DA$105=V152)*(DD$3:DD$105=V153)*DC$3:DC$105)</f>
        <v>0</v>
      </c>
      <c r="AA153" s="231">
        <f>SUMPRODUCT((DA$3:DA$105=V153)*(DD$3:DD$105=V154)*DC$3:DC$105)+SUMPRODUCT((DA$3:DA$105=V153)*(DD$3:DD$105=V155)*DC$3:DC$105)+SUMPRODUCT((DA$3:DA$105=V153)*(DD$3:DD$105=V156)*DC$3:DC$105)+SUMPRODUCT((DA$3:DA$105=V153)*(DD$3:DD$105=V152)*DC$3:DC$105)+SUMPRODUCT((DA$3:DA$105=V154)*(DD$3:DD$105=V153)*DB$3:DB$105)+SUMPRODUCT((DA$3:DA$105=V155)*(DD$3:DD$105=V153)*DB$3:DB$105)+SUMPRODUCT((DA$3:DA$105=V156)*(DD$3:DD$105=V153)*DB$3:DB$105)+SUMPRODUCT((DA$3:DA$105=V152)*(DD$3:DD$105=V153)*DB$3:DB$105)</f>
        <v>0</v>
      </c>
      <c r="AB153" s="231">
        <f>Z153-AA153+1000</f>
        <v>1000</v>
      </c>
      <c r="AC153" s="231">
        <f t="shared" ref="AC153:AC155" si="250">IF(V153&lt;&gt;"",W153*3+X153*1,"")</f>
        <v>0</v>
      </c>
      <c r="AD153" s="231">
        <f>IF(V153&lt;&gt;"",VLOOKUP(V153,C$4:I$76,7,FALSE),"")</f>
        <v>1000</v>
      </c>
      <c r="AE153" s="231">
        <f>IF(V153&lt;&gt;"",VLOOKUP(V153,C$4:I$76,5,FALSE),"")</f>
        <v>0</v>
      </c>
      <c r="AF153" s="231">
        <f>IF(V153&lt;&gt;"",VLOOKUP(V153,C$4:K$76,9,FALSE),"")</f>
        <v>-133</v>
      </c>
      <c r="AG153" s="231">
        <f t="shared" ref="AG153:AG155" si="251">AC153</f>
        <v>0</v>
      </c>
      <c r="AH153" s="231">
        <f t="shared" ref="AH153:AH155" si="252">IF(V153&lt;&gt;"",RANK(AG153,AG$152:AG$155),"")</f>
        <v>1</v>
      </c>
      <c r="AI153" s="231">
        <f>IF(V153&lt;&gt;"",SUMPRODUCT((AG$152:AG$155=AG153)*(AB$152:AB$155&gt;AB153)),"")</f>
        <v>0</v>
      </c>
      <c r="AJ153" s="231">
        <f>IF(V153&lt;&gt;"",SUMPRODUCT((AG$152:AG$155=AG153)*(AB$152:AB$155=AB153)*(Z$152:Z$155&gt;Z153)),"")</f>
        <v>0</v>
      </c>
      <c r="AK153" s="231">
        <f>IF(V153&lt;&gt;"",SUMPRODUCT((AG$152:AG$155=AG153)*(AB$152:AB$155=AB153)*(Z$152:Z$155=Z153)*(AD$152:AD$155&gt;AD153)),"")</f>
        <v>0</v>
      </c>
      <c r="AL153" s="231">
        <f>IF(V153&lt;&gt;"",SUMPRODUCT((AG$152:AG$155=AG153)*(AB$152:AB$155=AB153)*(Z$152:Z$155=Z153)*(AD$152:AD$155=AD153)*(AE$152:AE$155&gt;AE153)),"")</f>
        <v>0</v>
      </c>
      <c r="AM153" s="231">
        <f>IF(V153&lt;&gt;"",SUMPRODUCT((AG$152:AG$155=AG153)*(AB$152:AB$155=AB153)*(Z$152:Z$155=Z153)*(AD$152:AD$155=AD153)*(AE$152:AE$155=AE153)*(AF$152:AF$155&gt;AF153)),"")</f>
        <v>2</v>
      </c>
      <c r="AN153" s="231">
        <f t="shared" ref="AN153:AN155" si="253">IF(V153&lt;&gt;"",SUM(AH153:AM153),"")</f>
        <v>3</v>
      </c>
      <c r="AO153" s="231" t="str">
        <f>IF(AP74&lt;&gt;"",SUMPRODUCT((AW$73:AW$76=AW74)*(AV$73:AV$76=AV74)*(AT$73:AT$76=AT74)*(AU$73:AU$76=AU74)),"")</f>
        <v/>
      </c>
      <c r="AP153" s="231" t="str">
        <f>IF(AND(AO153&lt;&gt;"",AO153&gt;1),AP74,"")</f>
        <v/>
      </c>
      <c r="AQ153" s="231">
        <f>SUMPRODUCT((DA$3:DA$105=AP153)*(DD$3:DD$105=AP154)*(DE$3:DE$105="W"))+SUMPRODUCT((DA$3:DA$105=AP153)*(DD$3:DD$105=AP155)*(DE$3:DE$105="W"))+SUMPRODUCT((DA$3:DA$105=AP153)*(DD$3:DD$105=AP156)*(DE$3:DE$105="W"))+SUMPRODUCT((DA$3:DA$105=AP154)*(DD$3:DD$105=AP153)*(DF$3:DF$105="W"))+SUMPRODUCT((DA$3:DA$105=AP155)*(DD$3:DD$105=AP153)*(DF$3:DF$105="W"))+SUMPRODUCT((DA$3:DA$105=AP156)*(DD$3:DD$105=AP153)*(DF$3:DF$105="W"))</f>
        <v>0</v>
      </c>
      <c r="AR153" s="231">
        <f>SUMPRODUCT((DA$3:DA$105=AP153)*(DD$3:DD$105=AP154)*(DE$3:DE$105="D"))+SUMPRODUCT((DA$3:DA$105=AP153)*(DD$3:DD$105=AP155)*(DE$3:DE$105="D"))+SUMPRODUCT((DA$3:DA$105=AP153)*(DD$3:DD$105=AP156)*(DE$3:DE$105="D"))+SUMPRODUCT((DA$3:DA$105=AP154)*(DD$3:DD$105=AP153)*(DE$3:DE$105="D"))+SUMPRODUCT((DA$3:DA$105=AP155)*(DD$3:DD$105=AP153)*(DE$3:DE$105="D"))+SUMPRODUCT((DA$3:DA$105=AP156)*(DD$3:DD$105=AP153)*(DE$3:DE$105="D"))</f>
        <v>0</v>
      </c>
      <c r="AS153" s="231">
        <f>SUMPRODUCT((DA$3:DA$105=AP153)*(DD$3:DD$105=AP154)*(DE$3:DE$105="L"))+SUMPRODUCT((DA$3:DA$105=AP153)*(DD$3:DD$105=AP155)*(DE$3:DE$105="L"))+SUMPRODUCT((DA$3:DA$105=AP153)*(DD$3:DD$105=AP156)*(DE$3:DE$105="L"))+SUMPRODUCT((DA$3:DA$105=AP154)*(DD$3:DD$105=AP153)*(DF$3:DF$105="L"))+SUMPRODUCT((DA$3:DA$105=AP155)*(DD$3:DD$105=AP153)*(DF$3:DF$105="L"))+SUMPRODUCT((DA$3:DA$105=AP156)*(DD$3:DD$105=AP153)*(DF$3:DF$105="L"))</f>
        <v>0</v>
      </c>
      <c r="AT153" s="231">
        <f>SUMPRODUCT((DA$3:DA$105=AP153)*(DD$3:DD$105=AP154)*DB$3:DB$105)+SUMPRODUCT((DA$3:DA$105=AP153)*(DD$3:DD$105=AP155)*DB$3:DB$105)+SUMPRODUCT((DA$3:DA$105=AP153)*(DD$3:DD$105=AP156)*DB$3:DB$105)+SUMPRODUCT((DA$3:DA$105=AP153)*(DD$3:DD$105=AP152)*DB$3:DB$105)+SUMPRODUCT((DA$3:DA$105=AP154)*(DD$3:DD$105=AP153)*DC$3:DC$105)+SUMPRODUCT((DA$3:DA$105=AP155)*(DD$3:DD$105=AP153)*DC$3:DC$105)+SUMPRODUCT((DA$3:DA$105=AP156)*(DD$3:DD$105=AP153)*DC$3:DC$105)+SUMPRODUCT((DA$3:DA$105=AP152)*(DD$3:DD$105=AP153)*DC$3:DC$105)</f>
        <v>0</v>
      </c>
      <c r="AU153" s="231">
        <f>SUMPRODUCT((DA$3:DA$105=AP153)*(DD$3:DD$105=AP154)*DC$3:DC$105)+SUMPRODUCT((DA$3:DA$105=AP153)*(DD$3:DD$105=AP155)*DC$3:DC$105)+SUMPRODUCT((DA$3:DA$105=AP153)*(DD$3:DD$105=AP156)*DC$3:DC$105)+SUMPRODUCT((DA$3:DA$105=AP153)*(DD$3:DD$105=AP152)*DC$3:DC$105)+SUMPRODUCT((DA$3:DA$105=AP154)*(DD$3:DD$105=AP153)*DB$3:DB$105)+SUMPRODUCT((DA$3:DA$105=AP155)*(DD$3:DD$105=AP153)*DB$3:DB$105)+SUMPRODUCT((DA$3:DA$105=AP156)*(DD$3:DD$105=AP153)*DB$3:DB$105)+SUMPRODUCT((DA$3:DA$105=AP152)*(DD$3:DD$105=AP153)*DB$3:DB$105)</f>
        <v>0</v>
      </c>
      <c r="AV153" s="231">
        <f>AT153-AU153+1000</f>
        <v>1000</v>
      </c>
      <c r="AW153" s="231" t="str">
        <f t="shared" ref="AW153:AW155" si="254">IF(AP153&lt;&gt;"",AQ153*3+AR153*1,"")</f>
        <v/>
      </c>
      <c r="AX153" s="231" t="str">
        <f>IF(AP153&lt;&gt;"",VLOOKUP(AP153,C$4:I$76,7,FALSE),"")</f>
        <v/>
      </c>
      <c r="AY153" s="231" t="str">
        <f>IF(AP153&lt;&gt;"",VLOOKUP(AP153,C$4:I$76,5,FALSE),"")</f>
        <v/>
      </c>
      <c r="AZ153" s="231" t="str">
        <f>IF(AP153&lt;&gt;"",VLOOKUP(AP153,C$4:K$76,9,FALSE),"")</f>
        <v/>
      </c>
      <c r="BA153" s="231" t="str">
        <f t="shared" ref="BA153:BA155" si="255">AW153</f>
        <v/>
      </c>
      <c r="BB153" s="231" t="str">
        <f>IF(AP153&lt;&gt;"",RANK(BA153,BA152:BA155),"")</f>
        <v/>
      </c>
      <c r="BC153" s="231" t="str">
        <f>IF(AP153&lt;&gt;"",SUMPRODUCT((BA152:BA155=BA153)*(AV152:AV155&gt;AV153)),"")</f>
        <v/>
      </c>
      <c r="BD153" s="231" t="str">
        <f>IF(AP153&lt;&gt;"",SUMPRODUCT((BA152:BA155=BA153)*(AV152:AV155=AV153)*(AT152:AT155&gt;AT153)),"")</f>
        <v/>
      </c>
      <c r="BE153" s="231" t="str">
        <f>IF(AP153&lt;&gt;"",SUMPRODUCT((BA152:BA155=BA153)*(AV152:AV155=AV153)*(AT152:AT155=AT153)*(AX152:AX155&gt;AX153)),"")</f>
        <v/>
      </c>
      <c r="BF153" s="231" t="str">
        <f>IF(AP153&lt;&gt;"",SUMPRODUCT((BA152:BA155=BA153)*(AV152:AV155=AV153)*(AT152:AT155=AT153)*(AX152:AX155=AX153)*(AY152:AY155&gt;AY153)),"")</f>
        <v/>
      </c>
      <c r="BG153" s="231" t="str">
        <f>IF(AP153&lt;&gt;"",SUMPRODUCT((BA152:BA155=BA153)*(AV152:AV155=AV153)*(AT152:AT155=AT153)*(AX152:AX155=AX153)*(AY152:AY155=AY153)*(AZ152:AZ155&gt;AZ153)),"")</f>
        <v/>
      </c>
      <c r="BH153" s="231" t="str">
        <f>IF(AP153&lt;&gt;"",SUM(BB153:BG153)+1,"")</f>
        <v/>
      </c>
      <c r="DX153" s="248"/>
      <c r="DY153" s="248"/>
      <c r="DZ153" s="248"/>
      <c r="EA153" s="248"/>
      <c r="EB153" s="249"/>
      <c r="EC153" s="249"/>
    </row>
    <row r="154" spans="4:133" x14ac:dyDescent="0.25">
      <c r="J154" s="231">
        <f>IF(COUNTIF(J$73:J$76,4)=4,1,SUMPRODUCT((J$73:J$76=J75)*(I$73:I$76=I75)*(G$73:G$76&gt;G75))+1)</f>
        <v>1</v>
      </c>
      <c r="U154" s="231">
        <f>IF(V75&lt;&gt;"",SUMPRODUCT((AC$73:AC$76=AC75)*(AB$73:AB$76=AB75)*(Z$73:Z$76=Z75)*(AA$73:AA$76=AA75)),"")</f>
        <v>4</v>
      </c>
      <c r="V154" s="231" t="str">
        <f>IF(AND(U154&lt;&gt;"",U154&gt;1),V75,"")</f>
        <v>Croatia</v>
      </c>
      <c r="W154" s="231">
        <f>SUMPRODUCT((DA$3:DA$105=V154)*(DD$3:DD$105=V155)*(DE$3:DE$105="W"))+SUMPRODUCT((DA$3:DA$105=V154)*(DD$3:DD$105=V156)*(DE$3:DE$105="W"))+SUMPRODUCT((DA$3:DA$105=V154)*(DD$3:DD$105=V152)*(DE$3:DE$105="W"))+SUMPRODUCT((DA$3:DA$105=V154)*(DD$3:DD$105=V153)*(DE$3:DE$105="W"))+SUMPRODUCT((DA$3:DA$105=V155)*(DD$3:DD$105=V154)*(DF$3:DF$105="W"))+SUMPRODUCT((DA$3:DA$105=V156)*(DD$3:DD$105=V154)*(DF$3:DF$105="W"))+SUMPRODUCT((DA$3:DA$105=V152)*(DD$3:DD$105=V154)*(DF$3:DF$105="W"))+SUMPRODUCT((DA$3:DA$105=V153)*(DD$3:DD$105=V154)*(DF$3:DF$105="W"))</f>
        <v>0</v>
      </c>
      <c r="X154" s="231">
        <f>SUMPRODUCT((DA$3:DA$105=V154)*(DD$3:DD$105=V155)*(DE$3:DE$105="D"))+SUMPRODUCT((DA$3:DA$105=V154)*(DD$3:DD$105=V156)*(DE$3:DE$105="D"))+SUMPRODUCT((DA$3:DA$105=V154)*(DD$3:DD$105=V152)*(DE$3:DE$105="D"))+SUMPRODUCT((DA$3:DA$105=V154)*(DD$3:DD$105=V153)*(DE$3:DE$105="D"))+SUMPRODUCT((DA$3:DA$105=V155)*(DD$3:DD$105=V154)*(DE$3:DE$105="D"))+SUMPRODUCT((DA$3:DA$105=V156)*(DD$3:DD$105=V154)*(DE$3:DE$105="D"))+SUMPRODUCT((DA$3:DA$105=V152)*(DD$3:DD$105=V154)*(DE$3:DE$105="D"))+SUMPRODUCT((DA$3:DA$105=V153)*(DD$3:DD$105=V154)*(DE$3:DE$105="D"))</f>
        <v>0</v>
      </c>
      <c r="Y154" s="231">
        <f>SUMPRODUCT((DA$3:DA$105=V154)*(DD$3:DD$105=V155)*(DE$3:DE$105="L"))+SUMPRODUCT((DA$3:DA$105=V154)*(DD$3:DD$105=V156)*(DE$3:DE$105="L"))+SUMPRODUCT((DA$3:DA$105=V154)*(DD$3:DD$105=V152)*(DE$3:DE$105="L"))+SUMPRODUCT((DA$3:DA$105=V154)*(DD$3:DD$105=V153)*(DE$3:DE$105="L"))+SUMPRODUCT((DA$3:DA$105=V155)*(DD$3:DD$105=V154)*(DF$3:DF$105="L"))+SUMPRODUCT((DA$3:DA$105=V156)*(DD$3:DD$105=V154)*(DF$3:DF$105="L"))+SUMPRODUCT((DA$3:DA$105=V152)*(DD$3:DD$105=V154)*(DF$3:DF$105="L"))+SUMPRODUCT((DA$3:DA$105=V153)*(DD$3:DD$105=V154)*(DF$3:DF$105="L"))</f>
        <v>0</v>
      </c>
      <c r="Z154" s="231">
        <f>SUMPRODUCT((DA$3:DA$105=V154)*(DD$3:DD$105=V155)*DB$3:DB$105)+SUMPRODUCT((DA$3:DA$105=V154)*(DD$3:DD$105=V156)*DB$3:DB$105)+SUMPRODUCT((DA$3:DA$105=V154)*(DD$3:DD$105=V152)*DB$3:DB$105)+SUMPRODUCT((DA$3:DA$105=V154)*(DD$3:DD$105=V153)*DB$3:DB$105)+SUMPRODUCT((DA$3:DA$105=V155)*(DD$3:DD$105=V154)*DC$3:DC$105)+SUMPRODUCT((DA$3:DA$105=V156)*(DD$3:DD$105=V154)*DC$3:DC$105)+SUMPRODUCT((DA$3:DA$105=V152)*(DD$3:DD$105=V154)*DC$3:DC$105)+SUMPRODUCT((DA$3:DA$105=V153)*(DD$3:DD$105=V154)*DC$3:DC$105)</f>
        <v>0</v>
      </c>
      <c r="AA154" s="231">
        <f>SUMPRODUCT((DA$3:DA$105=V154)*(DD$3:DD$105=V155)*DC$3:DC$105)+SUMPRODUCT((DA$3:DA$105=V154)*(DD$3:DD$105=V156)*DC$3:DC$105)+SUMPRODUCT((DA$3:DA$105=V154)*(DD$3:DD$105=V152)*DC$3:DC$105)+SUMPRODUCT((DA$3:DA$105=V154)*(DD$3:DD$105=V153)*DC$3:DC$105)+SUMPRODUCT((DA$3:DA$105=V155)*(DD$3:DD$105=V154)*DB$3:DB$105)+SUMPRODUCT((DA$3:DA$105=V156)*(DD$3:DD$105=V154)*DB$3:DB$105)+SUMPRODUCT((DA$3:DA$105=V152)*(DD$3:DD$105=V154)*DB$3:DB$105)+SUMPRODUCT((DA$3:DA$105=V153)*(DD$3:DD$105=V154)*DB$3:DB$105)</f>
        <v>0</v>
      </c>
      <c r="AB154" s="231">
        <f>Z154-AA154+1000</f>
        <v>1000</v>
      </c>
      <c r="AC154" s="231">
        <f t="shared" si="250"/>
        <v>0</v>
      </c>
      <c r="AD154" s="231">
        <f>IF(V154&lt;&gt;"",VLOOKUP(V154,C$4:I$76,7,FALSE),"")</f>
        <v>1000</v>
      </c>
      <c r="AE154" s="231">
        <f>IF(V154&lt;&gt;"",VLOOKUP(V154,C$4:I$76,5,FALSE),"")</f>
        <v>0</v>
      </c>
      <c r="AF154" s="231">
        <f>IF(V154&lt;&gt;"",VLOOKUP(V154,C$4:K$76,9,FALSE),"")</f>
        <v>-111</v>
      </c>
      <c r="AG154" s="231">
        <f t="shared" si="251"/>
        <v>0</v>
      </c>
      <c r="AH154" s="231">
        <f t="shared" si="252"/>
        <v>1</v>
      </c>
      <c r="AI154" s="231">
        <f>IF(V154&lt;&gt;"",SUMPRODUCT((AG$152:AG$155=AG154)*(AB$152:AB$155&gt;AB154)),"")</f>
        <v>0</v>
      </c>
      <c r="AJ154" s="231">
        <f>IF(V154&lt;&gt;"",SUMPRODUCT((AG$152:AG$155=AG154)*(AB$152:AB$155=AB154)*(Z$152:Z$155&gt;Z154)),"")</f>
        <v>0</v>
      </c>
      <c r="AK154" s="231">
        <f>IF(V154&lt;&gt;"",SUMPRODUCT((AG$152:AG$155=AG154)*(AB$152:AB$155=AB154)*(Z$152:Z$155=Z154)*(AD$152:AD$155&gt;AD154)),"")</f>
        <v>0</v>
      </c>
      <c r="AL154" s="231">
        <f>IF(V154&lt;&gt;"",SUMPRODUCT((AG$152:AG$155=AG154)*(AB$152:AB$155=AB154)*(Z$152:Z$155=Z154)*(AD$152:AD$155=AD154)*(AE$152:AE$155&gt;AE154)),"")</f>
        <v>0</v>
      </c>
      <c r="AM154" s="231">
        <f>IF(V154&lt;&gt;"",SUMPRODUCT((AG$152:AG$155=AG154)*(AB$152:AB$155=AB154)*(Z$152:Z$155=Z154)*(AD$152:AD$155=AD154)*(AE$152:AE$155=AE154)*(AF$152:AF$155&gt;AF154)),"")</f>
        <v>1</v>
      </c>
      <c r="AN154" s="231">
        <f t="shared" si="253"/>
        <v>2</v>
      </c>
      <c r="AO154" s="231" t="str">
        <f>IF(AP75&lt;&gt;"",SUMPRODUCT((AW$73:AW$76=AW75)*(AV$73:AV$76=AV75)*(AT$73:AT$76=AT75)*(AU$73:AU$76=AU75)),"")</f>
        <v/>
      </c>
      <c r="AP154" s="231" t="str">
        <f>IF(AND(AO154&lt;&gt;"",AO154&gt;1),AP75,"")</f>
        <v/>
      </c>
      <c r="AQ154" s="231">
        <f>SUMPRODUCT((DA$3:DA$105=AP154)*(DD$3:DD$105=AP155)*(DE$3:DE$105="W"))+SUMPRODUCT((DA$3:DA$105=AP154)*(DD$3:DD$105=AP156)*(DE$3:DE$105="W"))+SUMPRODUCT((DA$3:DA$105=AP154)*(DD$3:DD$105=AP153)*(DE$3:DE$105="W"))+SUMPRODUCT((DA$3:DA$105=AP155)*(DD$3:DD$105=AP154)*(DF$3:DF$105="W"))+SUMPRODUCT((DA$3:DA$105=AP156)*(DD$3:DD$105=AP154)*(DF$3:DF$105="W"))+SUMPRODUCT((DA$3:DA$105=AP153)*(DD$3:DD$105=AP154)*(DF$3:DF$105="W"))</f>
        <v>0</v>
      </c>
      <c r="AR154" s="231">
        <f>SUMPRODUCT((DA$3:DA$105=AP154)*(DD$3:DD$105=AP155)*(DE$3:DE$105="D"))+SUMPRODUCT((DA$3:DA$105=AP154)*(DD$3:DD$105=AP156)*(DE$3:DE$105="D"))+SUMPRODUCT((DA$3:DA$105=AP154)*(DD$3:DD$105=AP153)*(DE$3:DE$105="D"))+SUMPRODUCT((DA$3:DA$105=AP155)*(DD$3:DD$105=AP154)*(DE$3:DE$105="D"))+SUMPRODUCT((DA$3:DA$105=AP156)*(DD$3:DD$105=AP154)*(DE$3:DE$105="D"))+SUMPRODUCT((DA$3:DA$105=AP153)*(DD$3:DD$105=AP154)*(DE$3:DE$105="D"))</f>
        <v>0</v>
      </c>
      <c r="AS154" s="231">
        <f>SUMPRODUCT((DA$3:DA$105=AP154)*(DD$3:DD$105=AP155)*(DE$3:DE$105="L"))+SUMPRODUCT((DA$3:DA$105=AP154)*(DD$3:DD$105=AP156)*(DE$3:DE$105="L"))+SUMPRODUCT((DA$3:DA$105=AP154)*(DD$3:DD$105=AP153)*(DE$3:DE$105="L"))+SUMPRODUCT((DA$3:DA$105=AP155)*(DD$3:DD$105=AP154)*(DF$3:DF$105="L"))+SUMPRODUCT((DA$3:DA$105=AP156)*(DD$3:DD$105=AP154)*(DF$3:DF$105="L"))+SUMPRODUCT((DA$3:DA$105=AP153)*(DD$3:DD$105=AP154)*(DF$3:DF$105="L"))</f>
        <v>0</v>
      </c>
      <c r="AT154" s="231">
        <f>SUMPRODUCT((DA$3:DA$105=AP154)*(DD$3:DD$105=AP155)*DB$3:DB$105)+SUMPRODUCT((DA$3:DA$105=AP154)*(DD$3:DD$105=AP156)*DB$3:DB$105)+SUMPRODUCT((DA$3:DA$105=AP154)*(DD$3:DD$105=AP152)*DB$3:DB$105)+SUMPRODUCT((DA$3:DA$105=AP154)*(DD$3:DD$105=AP153)*DB$3:DB$105)+SUMPRODUCT((DA$3:DA$105=AP155)*(DD$3:DD$105=AP154)*DC$3:DC$105)+SUMPRODUCT((DA$3:DA$105=AP156)*(DD$3:DD$105=AP154)*DC$3:DC$105)+SUMPRODUCT((DA$3:DA$105=AP152)*(DD$3:DD$105=AP154)*DC$3:DC$105)+SUMPRODUCT((DA$3:DA$105=AP153)*(DD$3:DD$105=AP154)*DC$3:DC$105)</f>
        <v>0</v>
      </c>
      <c r="AU154" s="231">
        <f>SUMPRODUCT((DA$3:DA$105=AP154)*(DD$3:DD$105=AP155)*DC$3:DC$105)+SUMPRODUCT((DA$3:DA$105=AP154)*(DD$3:DD$105=AP156)*DC$3:DC$105)+SUMPRODUCT((DA$3:DA$105=AP154)*(DD$3:DD$105=AP152)*DC$3:DC$105)+SUMPRODUCT((DA$3:DA$105=AP154)*(DD$3:DD$105=AP153)*DC$3:DC$105)+SUMPRODUCT((DA$3:DA$105=AP155)*(DD$3:DD$105=AP154)*DB$3:DB$105)+SUMPRODUCT((DA$3:DA$105=AP156)*(DD$3:DD$105=AP154)*DB$3:DB$105)+SUMPRODUCT((DA$3:DA$105=AP152)*(DD$3:DD$105=AP154)*DB$3:DB$105)+SUMPRODUCT((DA$3:DA$105=AP153)*(DD$3:DD$105=AP154)*DB$3:DB$105)</f>
        <v>0</v>
      </c>
      <c r="AV154" s="231">
        <f>AT154-AU154+1000</f>
        <v>1000</v>
      </c>
      <c r="AW154" s="231" t="str">
        <f t="shared" si="254"/>
        <v/>
      </c>
      <c r="AX154" s="231" t="str">
        <f>IF(AP154&lt;&gt;"",VLOOKUP(AP154,C$4:I$76,7,FALSE),"")</f>
        <v/>
      </c>
      <c r="AY154" s="231" t="str">
        <f>IF(AP154&lt;&gt;"",VLOOKUP(AP154,C$4:I$76,5,FALSE),"")</f>
        <v/>
      </c>
      <c r="AZ154" s="231" t="str">
        <f>IF(AP154&lt;&gt;"",VLOOKUP(AP154,C$4:K$76,9,FALSE),"")</f>
        <v/>
      </c>
      <c r="BA154" s="231" t="str">
        <f t="shared" si="255"/>
        <v/>
      </c>
      <c r="BB154" s="231" t="str">
        <f>IF(AP154&lt;&gt;"",RANK(BA154,BA152:BA155),"")</f>
        <v/>
      </c>
      <c r="BC154" s="231" t="str">
        <f>IF(AP154&lt;&gt;"",SUMPRODUCT((BA152:BA155=BA154)*(AV152:AV155&gt;AV154)),"")</f>
        <v/>
      </c>
      <c r="BD154" s="231" t="str">
        <f>IF(AP154&lt;&gt;"",SUMPRODUCT((BA152:BA155=BA154)*(AV152:AV155=AV154)*(AT152:AT155&gt;AT154)),"")</f>
        <v/>
      </c>
      <c r="BE154" s="231" t="str">
        <f>IF(AP154&lt;&gt;"",SUMPRODUCT((BA152:BA155=BA154)*(AV152:AV155=AV154)*(AT152:AT155=AT154)*(AX152:AX155&gt;AX154)),"")</f>
        <v/>
      </c>
      <c r="BF154" s="231" t="str">
        <f>IF(AP154&lt;&gt;"",SUMPRODUCT((BA152:BA155=BA154)*(AV152:AV155=AV154)*(AT152:AT155=AT154)*(AX152:AX155=AX154)*(AY152:AY155&gt;AY154)),"")</f>
        <v/>
      </c>
      <c r="BG154" s="231" t="str">
        <f>IF(AP154&lt;&gt;"",SUMPRODUCT((BA152:BA155=BA154)*(AV152:AV155=AV154)*(AT152:AT155=AT154)*(AX152:AX155=AX154)*(AY152:AY155=AY154)*(AZ152:AZ155&gt;AZ154)),"")</f>
        <v/>
      </c>
      <c r="BH154" s="231" t="str">
        <f t="shared" ref="BH154:BH155" si="256">IF(AP154&lt;&gt;"",SUM(BB154:BG154)+1,"")</f>
        <v/>
      </c>
    </row>
    <row r="155" spans="4:133" x14ac:dyDescent="0.25">
      <c r="J155" s="231">
        <f>IF(COUNTIF(J$73:J$76,4)=4,1,SUMPRODUCT((J$73:J$76=J76)*(I$73:I$76=I76)*(G$73:G$76&gt;G76))+1)</f>
        <v>1</v>
      </c>
      <c r="U155" s="231">
        <f>IF(V76&lt;&gt;"",SUMPRODUCT((AC$73:AC$76=AC76)*(AB$73:AB$76=AB76)*(Z$73:Z$76=Z76)*(AA$73:AA$76=AA76)),"")</f>
        <v>4</v>
      </c>
      <c r="V155" s="231" t="str">
        <f>IF(AND(U155&lt;&gt;"",U155&gt;1),V76,"")</f>
        <v>England</v>
      </c>
      <c r="W155" s="231">
        <f>SUMPRODUCT((DA$3:DA$105=V155)*(DD$3:DD$105=V156)*(DE$3:DE$105="W"))+SUMPRODUCT((DA$3:DA$105=V155)*(DD$3:DD$105=V152)*(DE$3:DE$105="W"))+SUMPRODUCT((DA$3:DA$105=V155)*(DD$3:DD$105=V153)*(DE$3:DE$105="W"))+SUMPRODUCT((DA$3:DA$105=V155)*(DD$3:DD$105=V154)*(DE$3:DE$105="W"))+SUMPRODUCT((DA$3:DA$105=V156)*(DD$3:DD$105=V155)*(DF$3:DF$105="W"))+SUMPRODUCT((DA$3:DA$105=V152)*(DD$3:DD$105=V155)*(DF$3:DF$105="W"))+SUMPRODUCT((DA$3:DA$105=V153)*(DD$3:DD$105=V155)*(DF$3:DF$105="W"))+SUMPRODUCT((DA$3:DA$105=V154)*(DD$3:DD$105=V155)*(DF$3:DF$105="W"))</f>
        <v>0</v>
      </c>
      <c r="X155" s="231">
        <f>SUMPRODUCT((DA$3:DA$105=V155)*(DD$3:DD$105=V156)*(DE$3:DE$105="D"))+SUMPRODUCT((DA$3:DA$105=V155)*(DD$3:DD$105=V152)*(DE$3:DE$105="D"))+SUMPRODUCT((DA$3:DA$105=V155)*(DD$3:DD$105=V153)*(DE$3:DE$105="D"))+SUMPRODUCT((DA$3:DA$105=V155)*(DD$3:DD$105=V154)*(DE$3:DE$105="D"))+SUMPRODUCT((DA$3:DA$105=V156)*(DD$3:DD$105=V155)*(DE$3:DE$105="D"))+SUMPRODUCT((DA$3:DA$105=V152)*(DD$3:DD$105=V155)*(DE$3:DE$105="D"))+SUMPRODUCT((DA$3:DA$105=V153)*(DD$3:DD$105=V155)*(DE$3:DE$105="D"))+SUMPRODUCT((DA$3:DA$105=V154)*(DD$3:DD$105=V155)*(DE$3:DE$105="D"))</f>
        <v>0</v>
      </c>
      <c r="Y155" s="231">
        <f>SUMPRODUCT((DA$3:DA$105=V155)*(DD$3:DD$105=V156)*(DE$3:DE$105="L"))+SUMPRODUCT((DA$3:DA$105=V155)*(DD$3:DD$105=V152)*(DE$3:DE$105="L"))+SUMPRODUCT((DA$3:DA$105=V155)*(DD$3:DD$105=V153)*(DE$3:DE$105="L"))+SUMPRODUCT((DA$3:DA$105=V155)*(DD$3:DD$105=V154)*(DE$3:DE$105="L"))+SUMPRODUCT((DA$3:DA$105=V156)*(DD$3:DD$105=V155)*(DF$3:DF$105="L"))+SUMPRODUCT((DA$3:DA$105=V152)*(DD$3:DD$105=V155)*(DF$3:DF$105="L"))+SUMPRODUCT((DA$3:DA$105=V153)*(DD$3:DD$105=V155)*(DF$3:DF$105="L"))+SUMPRODUCT((DA$3:DA$105=V154)*(DD$3:DD$105=V155)*(DF$3:DF$105="L"))</f>
        <v>0</v>
      </c>
      <c r="Z155" s="231">
        <f>SUMPRODUCT((DA$3:DA$105=V155)*(DD$3:DD$105=V156)*DB$3:DB$105)+SUMPRODUCT((DA$3:DA$105=V155)*(DD$3:DD$105=V152)*DB$3:DB$105)+SUMPRODUCT((DA$3:DA$105=V155)*(DD$3:DD$105=V153)*DB$3:DB$105)+SUMPRODUCT((DA$3:DA$105=V155)*(DD$3:DD$105=V154)*DB$3:DB$105)+SUMPRODUCT((DA$3:DA$105=V156)*(DD$3:DD$105=V155)*DC$3:DC$105)+SUMPRODUCT((DA$3:DA$105=V152)*(DD$3:DD$105=V155)*DC$3:DC$105)+SUMPRODUCT((DA$3:DA$105=V153)*(DD$3:DD$105=V155)*DC$3:DC$105)+SUMPRODUCT((DA$3:DA$105=V154)*(DD$3:DD$105=V155)*DC$3:DC$105)</f>
        <v>0</v>
      </c>
      <c r="AA155" s="231">
        <f>SUMPRODUCT((DA$3:DA$105=V155)*(DD$3:DD$105=V156)*DC$3:DC$105)+SUMPRODUCT((DA$3:DA$105=V155)*(DD$3:DD$105=V152)*DC$3:DC$105)+SUMPRODUCT((DA$3:DA$105=V155)*(DD$3:DD$105=V153)*DC$3:DC$105)+SUMPRODUCT((DA$3:DA$105=V155)*(DD$3:DD$105=V154)*DC$3:DC$105)+SUMPRODUCT((DA$3:DA$105=V156)*(DD$3:DD$105=V155)*DB$3:DB$105)+SUMPRODUCT((DA$3:DA$105=V152)*(DD$3:DD$105=V155)*DB$3:DB$105)+SUMPRODUCT((DA$3:DA$105=V153)*(DD$3:DD$105=V155)*DB$3:DB$105)+SUMPRODUCT((DA$3:DA$105=V154)*(DD$3:DD$105=V155)*DB$3:DB$105)</f>
        <v>0</v>
      </c>
      <c r="AB155" s="231">
        <f>Z155-AA155+1000</f>
        <v>1000</v>
      </c>
      <c r="AC155" s="231">
        <f t="shared" si="250"/>
        <v>0</v>
      </c>
      <c r="AD155" s="231">
        <f>IF(V155&lt;&gt;"",VLOOKUP(V155,C$4:I$76,7,FALSE),"")</f>
        <v>1000</v>
      </c>
      <c r="AE155" s="231">
        <f>IF(V155&lt;&gt;"",VLOOKUP(V155,C$4:I$76,5,FALSE),"")</f>
        <v>0</v>
      </c>
      <c r="AF155" s="231">
        <f>IF(V155&lt;&gt;"",VLOOKUP(V155,C$4:K$76,9,FALSE),"")</f>
        <v>-104</v>
      </c>
      <c r="AG155" s="231">
        <f t="shared" si="251"/>
        <v>0</v>
      </c>
      <c r="AH155" s="231">
        <f t="shared" si="252"/>
        <v>1</v>
      </c>
      <c r="AI155" s="231">
        <f>IF(V155&lt;&gt;"",SUMPRODUCT((AG$152:AG$155=AG155)*(AB$152:AB$155&gt;AB155)),"")</f>
        <v>0</v>
      </c>
      <c r="AJ155" s="231">
        <f>IF(V155&lt;&gt;"",SUMPRODUCT((AG$152:AG$155=AG155)*(AB$152:AB$155=AB155)*(Z$152:Z$155&gt;Z155)),"")</f>
        <v>0</v>
      </c>
      <c r="AK155" s="231">
        <f>IF(V155&lt;&gt;"",SUMPRODUCT((AG$152:AG$155=AG155)*(AB$152:AB$155=AB155)*(Z$152:Z$155=Z155)*(AD$152:AD$155&gt;AD155)),"")</f>
        <v>0</v>
      </c>
      <c r="AL155" s="231">
        <f>IF(V155&lt;&gt;"",SUMPRODUCT((AG$152:AG$155=AG155)*(AB$152:AB$155=AB155)*(Z$152:Z$155=Z155)*(AD$152:AD$155=AD155)*(AE$152:AE$155&gt;AE155)),"")</f>
        <v>0</v>
      </c>
      <c r="AM155" s="231">
        <f>IF(V155&lt;&gt;"",SUMPRODUCT((AG$152:AG$155=AG155)*(AB$152:AB$155=AB155)*(Z$152:Z$155=Z155)*(AD$152:AD$155=AD155)*(AE$152:AE$155=AE155)*(AF$152:AF$155&gt;AF155)),"")</f>
        <v>0</v>
      </c>
      <c r="AN155" s="231">
        <f t="shared" si="253"/>
        <v>1</v>
      </c>
      <c r="AO155" s="231" t="str">
        <f>IF(AP76&lt;&gt;"",SUMPRODUCT((AW$73:AW$76=AW76)*(AV$73:AV$76=AV76)*(AT$73:AT$76=AT76)*(AU$73:AU$76=AU76)),"")</f>
        <v/>
      </c>
      <c r="AP155" s="231" t="str">
        <f>IF(AND(AO155&lt;&gt;"",AO155&gt;1),AP76,"")</f>
        <v/>
      </c>
      <c r="AQ155" s="231" t="str">
        <f>IF(AP155&lt;&gt;"",SUMPRODUCT((DA$3:DA$105=AP155)*(DD$3:DD$105=AP156)*(DE$3:DE$105="W"))+SUMPRODUCT((DA$3:DA$105=AP155)*(DD$3:DD$105=AP153)*(DE$3:DE$105="W"))+SUMPRODUCT((DA$3:DA$105=AP155)*(DD$3:DD$105=AP154)*(DE$3:DE$105="W"))+SUMPRODUCT((DA$3:DA$105=AP156)*(DD$3:DD$105=AP155)*(DF$3:DF$105="W"))+SUMPRODUCT((DA$3:DA$105=AP153)*(DD$3:DD$105=AP155)*(DF$3:DF$105="W"))+SUMPRODUCT((DA$3:DA$105=AP154)*(DD$3:DD$105=AP155)*(DF$3:DF$105="W")),"")</f>
        <v/>
      </c>
      <c r="AR155" s="231" t="str">
        <f>IF(AP155&lt;&gt;"",SUMPRODUCT((DA$3:DA$105=AP155)*(DD$3:DD$105=AP156)*(DE$3:DE$105="D"))+SUMPRODUCT((DA$3:DA$105=AP155)*(DD$3:DD$105=AP153)*(DE$3:DE$105="D"))+SUMPRODUCT((DA$3:DA$105=AP155)*(DD$3:DD$105=AP154)*(DE$3:DE$105="D"))+SUMPRODUCT((DA$3:DA$105=AP156)*(DD$3:DD$105=AP155)*(DE$3:DE$105="D"))+SUMPRODUCT((DA$3:DA$105=AP153)*(DD$3:DD$105=AP155)*(DE$3:DE$105="D"))+SUMPRODUCT((DA$3:DA$105=AP154)*(DD$3:DD$105=AP155)*(DE$3:DE$105="D")),"")</f>
        <v/>
      </c>
      <c r="AS155" s="231" t="str">
        <f>IF(AP155&lt;&gt;"",SUMPRODUCT((DA$3:DA$105=AP155)*(DD$3:DD$105=AP156)*(DE$3:DE$105="L"))+SUMPRODUCT((DA$3:DA$105=AP155)*(DD$3:DD$105=AP153)*(DE$3:DE$105="L"))+SUMPRODUCT((DA$3:DA$105=AP155)*(DD$3:DD$105=AP154)*(DE$3:DE$105="L"))+SUMPRODUCT((DA$3:DA$105=AP156)*(DD$3:DD$105=AP155)*(DF$3:DF$105="L"))+SUMPRODUCT((DA$3:DA$105=AP153)*(DD$3:DD$105=AP155)*(DF$3:DF$105="L"))+SUMPRODUCT((DA$3:DA$105=AP154)*(DD$3:DD$105=AP155)*(DF$3:DF$105="L")),"")</f>
        <v/>
      </c>
      <c r="AT155" s="231">
        <f>SUMPRODUCT((DA$3:DA$105=AP155)*(DD$3:DD$105=AP156)*DB$3:DB$105)+SUMPRODUCT((DA$3:DA$105=AP155)*(DD$3:DD$105=AP152)*DB$3:DB$105)+SUMPRODUCT((DA$3:DA$105=AP155)*(DD$3:DD$105=AP153)*DB$3:DB$105)+SUMPRODUCT((DA$3:DA$105=AP155)*(DD$3:DD$105=AP154)*DB$3:DB$105)+SUMPRODUCT((DA$3:DA$105=AP156)*(DD$3:DD$105=AP155)*DC$3:DC$105)+SUMPRODUCT((DA$3:DA$105=AP152)*(DD$3:DD$105=AP155)*DC$3:DC$105)+SUMPRODUCT((DA$3:DA$105=AP153)*(DD$3:DD$105=AP155)*DC$3:DC$105)+SUMPRODUCT((DA$3:DA$105=AP154)*(DD$3:DD$105=AP155)*DC$3:DC$105)</f>
        <v>0</v>
      </c>
      <c r="AU155" s="231">
        <f>SUMPRODUCT((DA$3:DA$105=AP155)*(DD$3:DD$105=AP156)*DC$3:DC$105)+SUMPRODUCT((DA$3:DA$105=AP155)*(DD$3:DD$105=AP152)*DC$3:DC$105)+SUMPRODUCT((DA$3:DA$105=AP155)*(DD$3:DD$105=AP153)*DC$3:DC$105)+SUMPRODUCT((DA$3:DA$105=AP155)*(DD$3:DD$105=AP154)*DC$3:DC$105)+SUMPRODUCT((DA$3:DA$105=AP156)*(DD$3:DD$105=AP155)*DB$3:DB$105)+SUMPRODUCT((DA$3:DA$105=AP152)*(DD$3:DD$105=AP155)*DB$3:DB$105)+SUMPRODUCT((DA$3:DA$105=AP153)*(DD$3:DD$105=AP155)*DB$3:DB$105)+SUMPRODUCT((DA$3:DA$105=AP154)*(DD$3:DD$105=AP155)*DB$3:DB$105)</f>
        <v>0</v>
      </c>
      <c r="AV155" s="231">
        <f>AT155-AU155+1000</f>
        <v>1000</v>
      </c>
      <c r="AW155" s="231" t="str">
        <f t="shared" si="254"/>
        <v/>
      </c>
      <c r="AX155" s="231" t="str">
        <f>IF(AP155&lt;&gt;"",VLOOKUP(AP155,C$4:I$76,7,FALSE),"")</f>
        <v/>
      </c>
      <c r="AY155" s="231" t="str">
        <f>IF(AP155&lt;&gt;"",VLOOKUP(AP155,C$4:I$76,5,FALSE),"")</f>
        <v/>
      </c>
      <c r="AZ155" s="231" t="str">
        <f>IF(AP155&lt;&gt;"",VLOOKUP(AP155,C$4:K$76,9,FALSE),"")</f>
        <v/>
      </c>
      <c r="BA155" s="231" t="str">
        <f t="shared" si="255"/>
        <v/>
      </c>
      <c r="BB155" s="231" t="str">
        <f>IF(AP155&lt;&gt;"",RANK(BA155,BA152:BA155),"")</f>
        <v/>
      </c>
      <c r="BC155" s="231" t="str">
        <f>IF(AP155&lt;&gt;"",SUMPRODUCT((BA152:BA155=BA155)*(AV152:AV155&gt;AV155)),"")</f>
        <v/>
      </c>
      <c r="BD155" s="231" t="str">
        <f>IF(AP155&lt;&gt;"",SUMPRODUCT((BA152:BA155=BA155)*(AV152:AV155=AV155)*(AT152:AT155&gt;AT155)),"")</f>
        <v/>
      </c>
      <c r="BE155" s="231" t="str">
        <f>IF(AP155&lt;&gt;"",SUMPRODUCT((BA152:BA155=BA155)*(AV152:AV155=AV155)*(AT152:AT155=AT155)*(AX152:AX155&gt;AX155)),"")</f>
        <v/>
      </c>
      <c r="BF155" s="231" t="str">
        <f>IF(AP155&lt;&gt;"",SUMPRODUCT((BA152:BA155=BA155)*(AV152:AV155=AV155)*(AT152:AT155=AT155)*(AX152:AX155=AX155)*(AY152:AY155&gt;AY155)),"")</f>
        <v/>
      </c>
      <c r="BG155" s="231" t="str">
        <f>IF(AP155&lt;&gt;"",SUMPRODUCT((BA152:BA155=BA155)*(AV152:AV155=AV155)*(AT152:AT155=AT155)*(AX152:AX155=AX155)*(AY152:AY155=AY155)*(AZ152:AZ155&gt;AZ155)),"")</f>
        <v/>
      </c>
      <c r="BH155" s="231" t="str">
        <f t="shared" si="256"/>
        <v/>
      </c>
    </row>
    <row r="157" spans="4:133" x14ac:dyDescent="0.25">
      <c r="AA157" s="231" t="s">
        <v>72</v>
      </c>
      <c r="AB157" s="231" t="s">
        <v>73</v>
      </c>
      <c r="AC157" s="231" t="s">
        <v>74</v>
      </c>
      <c r="AD157" s="231" t="s">
        <v>69</v>
      </c>
      <c r="AE157" s="231" t="s">
        <v>76</v>
      </c>
      <c r="AF157" s="231" t="s">
        <v>75</v>
      </c>
      <c r="AG157" s="231" t="s">
        <v>77</v>
      </c>
      <c r="AH157" s="231" t="s">
        <v>78</v>
      </c>
      <c r="AI157" s="231" t="s">
        <v>515</v>
      </c>
      <c r="AJ157" s="231" t="s">
        <v>516</v>
      </c>
      <c r="AK157" s="231" t="s">
        <v>517</v>
      </c>
      <c r="AL157" s="231" t="s">
        <v>70</v>
      </c>
    </row>
    <row r="158" spans="4:133" x14ac:dyDescent="0.25">
      <c r="D158" s="231" t="s">
        <v>576</v>
      </c>
      <c r="R158" s="231" t="s">
        <v>583</v>
      </c>
      <c r="S158" s="231" t="s">
        <v>584</v>
      </c>
      <c r="T158" s="231" t="s">
        <v>585</v>
      </c>
      <c r="U158" s="231" t="s">
        <v>586</v>
      </c>
      <c r="V158" s="231" t="s">
        <v>587</v>
      </c>
      <c r="W158" s="231" t="s">
        <v>588</v>
      </c>
      <c r="X158" s="231" t="s">
        <v>589</v>
      </c>
      <c r="Y158" s="231" t="s">
        <v>590</v>
      </c>
      <c r="AA158" s="231">
        <f>IFERROR(IF(MATCH(AA$157,$T658:$T665,0),1,0),0)</f>
        <v>0</v>
      </c>
      <c r="AB158" s="231">
        <f t="shared" ref="AB158:AL158" si="257">IFERROR(IF(MATCH(AB$157,$T658:$T665,0),1,0),0)</f>
        <v>0</v>
      </c>
      <c r="AC158" s="231">
        <f t="shared" si="257"/>
        <v>1</v>
      </c>
      <c r="AD158" s="231">
        <f t="shared" si="257"/>
        <v>1</v>
      </c>
      <c r="AE158" s="231">
        <f t="shared" si="257"/>
        <v>1</v>
      </c>
      <c r="AF158" s="231">
        <f t="shared" si="257"/>
        <v>1</v>
      </c>
      <c r="AG158" s="231">
        <f t="shared" si="257"/>
        <v>1</v>
      </c>
      <c r="AH158" s="231">
        <f t="shared" si="257"/>
        <v>0</v>
      </c>
      <c r="AI158" s="231">
        <f t="shared" si="257"/>
        <v>1</v>
      </c>
      <c r="AJ158" s="231">
        <f t="shared" si="257"/>
        <v>1</v>
      </c>
      <c r="AK158" s="231">
        <f t="shared" si="257"/>
        <v>0</v>
      </c>
      <c r="AL158" s="231">
        <f t="shared" si="257"/>
        <v>1</v>
      </c>
      <c r="AM158" s="231" t="s">
        <v>591</v>
      </c>
    </row>
    <row r="159" spans="4:133" x14ac:dyDescent="0.25">
      <c r="D159" s="231">
        <v>1</v>
      </c>
      <c r="I159" s="231" t="s">
        <v>76</v>
      </c>
      <c r="J159" s="231" t="s">
        <v>75</v>
      </c>
      <c r="K159" s="231" t="s">
        <v>77</v>
      </c>
      <c r="L159" s="231" t="s">
        <v>78</v>
      </c>
      <c r="M159" s="231" t="s">
        <v>515</v>
      </c>
      <c r="N159" s="231" t="s">
        <v>516</v>
      </c>
      <c r="O159" s="232" t="s">
        <v>517</v>
      </c>
      <c r="P159" s="231" t="s">
        <v>70</v>
      </c>
      <c r="R159" s="231" t="s">
        <v>564</v>
      </c>
      <c r="S159" s="231" t="s">
        <v>565</v>
      </c>
      <c r="T159" s="231" t="s">
        <v>566</v>
      </c>
      <c r="U159" s="231" t="s">
        <v>567</v>
      </c>
      <c r="V159" s="231" t="s">
        <v>568</v>
      </c>
      <c r="W159" s="231" t="s">
        <v>569</v>
      </c>
      <c r="X159" s="231" t="s">
        <v>570</v>
      </c>
      <c r="Y159" s="231" t="s">
        <v>571</v>
      </c>
      <c r="AA159" s="231">
        <f>IF(AND(E159&lt;&gt;"",AA$158=1),1,0)</f>
        <v>0</v>
      </c>
      <c r="AB159" s="231">
        <f t="shared" ref="AB159:AL159" si="258">IF(AND(F159&lt;&gt;"",AB$158=1),1,0)</f>
        <v>0</v>
      </c>
      <c r="AC159" s="231">
        <f t="shared" si="258"/>
        <v>0</v>
      </c>
      <c r="AD159" s="231">
        <f t="shared" si="258"/>
        <v>0</v>
      </c>
      <c r="AE159" s="231">
        <f t="shared" si="258"/>
        <v>1</v>
      </c>
      <c r="AF159" s="231">
        <f t="shared" si="258"/>
        <v>1</v>
      </c>
      <c r="AG159" s="231">
        <f t="shared" si="258"/>
        <v>1</v>
      </c>
      <c r="AH159" s="231">
        <f t="shared" si="258"/>
        <v>0</v>
      </c>
      <c r="AI159" s="231">
        <f t="shared" si="258"/>
        <v>1</v>
      </c>
      <c r="AJ159" s="231">
        <f t="shared" si="258"/>
        <v>1</v>
      </c>
      <c r="AK159" s="231">
        <f t="shared" si="258"/>
        <v>0</v>
      </c>
      <c r="AL159" s="231">
        <f t="shared" si="258"/>
        <v>1</v>
      </c>
      <c r="AM159" s="231">
        <f>SUM(AA159:AL159)</f>
        <v>6</v>
      </c>
    </row>
    <row r="160" spans="4:133" x14ac:dyDescent="0.25">
      <c r="D160" s="231">
        <v>2</v>
      </c>
      <c r="H160" s="231" t="s">
        <v>69</v>
      </c>
      <c r="J160" s="231" t="s">
        <v>75</v>
      </c>
      <c r="K160" s="231" t="s">
        <v>77</v>
      </c>
      <c r="L160" s="231" t="s">
        <v>78</v>
      </c>
      <c r="M160" s="231" t="s">
        <v>515</v>
      </c>
      <c r="N160" s="231" t="s">
        <v>516</v>
      </c>
      <c r="O160" s="232" t="s">
        <v>517</v>
      </c>
      <c r="P160" s="231" t="s">
        <v>70</v>
      </c>
      <c r="R160" s="231" t="s">
        <v>568</v>
      </c>
      <c r="S160" s="231" t="s">
        <v>569</v>
      </c>
      <c r="T160" s="231" t="s">
        <v>566</v>
      </c>
      <c r="U160" s="231" t="s">
        <v>572</v>
      </c>
      <c r="V160" s="231" t="s">
        <v>565</v>
      </c>
      <c r="W160" s="231" t="s">
        <v>567</v>
      </c>
      <c r="X160" s="231" t="s">
        <v>570</v>
      </c>
      <c r="Y160" s="231" t="s">
        <v>571</v>
      </c>
      <c r="AA160" s="231">
        <f t="shared" ref="AA160:AA223" si="259">IF(AND(E160&lt;&gt;"",AA$158=1),1,0)</f>
        <v>0</v>
      </c>
      <c r="AB160" s="231">
        <f t="shared" ref="AB160:AB223" si="260">IF(AND(F160&lt;&gt;"",AB$158=1),1,0)</f>
        <v>0</v>
      </c>
      <c r="AC160" s="231">
        <f t="shared" ref="AC160:AC223" si="261">IF(AND(G160&lt;&gt;"",AC$158=1),1,0)</f>
        <v>0</v>
      </c>
      <c r="AD160" s="231">
        <f t="shared" ref="AD160:AD223" si="262">IF(AND(H160&lt;&gt;"",AD$158=1),1,0)</f>
        <v>1</v>
      </c>
      <c r="AE160" s="231">
        <f t="shared" ref="AE160:AE223" si="263">IF(AND(I160&lt;&gt;"",AE$158=1),1,0)</f>
        <v>0</v>
      </c>
      <c r="AF160" s="231">
        <f t="shared" ref="AF160:AF223" si="264">IF(AND(J160&lt;&gt;"",AF$158=1),1,0)</f>
        <v>1</v>
      </c>
      <c r="AG160" s="231">
        <f t="shared" ref="AG160:AG223" si="265">IF(AND(K160&lt;&gt;"",AG$158=1),1,0)</f>
        <v>1</v>
      </c>
      <c r="AH160" s="231">
        <f t="shared" ref="AH160:AH223" si="266">IF(AND(L160&lt;&gt;"",AH$158=1),1,0)</f>
        <v>0</v>
      </c>
      <c r="AI160" s="231">
        <f t="shared" ref="AI160:AI223" si="267">IF(AND(M160&lt;&gt;"",AI$158=1),1,0)</f>
        <v>1</v>
      </c>
      <c r="AJ160" s="231">
        <f t="shared" ref="AJ160:AJ223" si="268">IF(AND(N160&lt;&gt;"",AJ$158=1),1,0)</f>
        <v>1</v>
      </c>
      <c r="AK160" s="231">
        <f t="shared" ref="AK160:AK223" si="269">IF(AND(O160&lt;&gt;"",AK$158=1),1,0)</f>
        <v>0</v>
      </c>
      <c r="AL160" s="231">
        <f t="shared" ref="AL160:AL223" si="270">IF(AND(P160&lt;&gt;"",AL$158=1),1,0)</f>
        <v>1</v>
      </c>
      <c r="AM160" s="231">
        <f t="shared" ref="AM160:AM223" si="271">SUM(AA160:AL160)</f>
        <v>6</v>
      </c>
    </row>
    <row r="161" spans="4:125" x14ac:dyDescent="0.25">
      <c r="D161" s="231">
        <v>3</v>
      </c>
      <c r="H161" s="231" t="s">
        <v>69</v>
      </c>
      <c r="I161" s="231" t="s">
        <v>76</v>
      </c>
      <c r="K161" s="231" t="s">
        <v>77</v>
      </c>
      <c r="L161" s="231" t="s">
        <v>78</v>
      </c>
      <c r="M161" s="231" t="s">
        <v>515</v>
      </c>
      <c r="N161" s="231" t="s">
        <v>516</v>
      </c>
      <c r="O161" s="232" t="s">
        <v>517</v>
      </c>
      <c r="P161" s="231" t="s">
        <v>70</v>
      </c>
      <c r="R161" s="231" t="s">
        <v>564</v>
      </c>
      <c r="S161" s="231" t="s">
        <v>565</v>
      </c>
      <c r="T161" s="231" t="s">
        <v>566</v>
      </c>
      <c r="U161" s="231" t="s">
        <v>572</v>
      </c>
      <c r="V161" s="231" t="s">
        <v>568</v>
      </c>
      <c r="W161" s="231" t="s">
        <v>569</v>
      </c>
      <c r="X161" s="231" t="s">
        <v>570</v>
      </c>
      <c r="Y161" s="231" t="s">
        <v>571</v>
      </c>
      <c r="AA161" s="231">
        <f t="shared" si="259"/>
        <v>0</v>
      </c>
      <c r="AB161" s="231">
        <f t="shared" si="260"/>
        <v>0</v>
      </c>
      <c r="AC161" s="231">
        <f t="shared" si="261"/>
        <v>0</v>
      </c>
      <c r="AD161" s="231">
        <f t="shared" si="262"/>
        <v>1</v>
      </c>
      <c r="AE161" s="231">
        <f t="shared" si="263"/>
        <v>1</v>
      </c>
      <c r="AF161" s="231">
        <f t="shared" si="264"/>
        <v>0</v>
      </c>
      <c r="AG161" s="231">
        <f t="shared" si="265"/>
        <v>1</v>
      </c>
      <c r="AH161" s="231">
        <f t="shared" si="266"/>
        <v>0</v>
      </c>
      <c r="AI161" s="231">
        <f t="shared" si="267"/>
        <v>1</v>
      </c>
      <c r="AJ161" s="231">
        <f t="shared" si="268"/>
        <v>1</v>
      </c>
      <c r="AK161" s="231">
        <f t="shared" si="269"/>
        <v>0</v>
      </c>
      <c r="AL161" s="231">
        <f t="shared" si="270"/>
        <v>1</v>
      </c>
      <c r="AM161" s="231">
        <f t="shared" si="271"/>
        <v>6</v>
      </c>
    </row>
    <row r="162" spans="4:125" x14ac:dyDescent="0.25">
      <c r="D162" s="231">
        <v>4</v>
      </c>
      <c r="H162" s="231" t="s">
        <v>69</v>
      </c>
      <c r="I162" s="231" t="s">
        <v>76</v>
      </c>
      <c r="J162" s="231" t="s">
        <v>75</v>
      </c>
      <c r="L162" s="231" t="s">
        <v>78</v>
      </c>
      <c r="M162" s="231" t="s">
        <v>515</v>
      </c>
      <c r="N162" s="231" t="s">
        <v>516</v>
      </c>
      <c r="O162" s="232" t="s">
        <v>517</v>
      </c>
      <c r="P162" s="231" t="s">
        <v>70</v>
      </c>
      <c r="R162" s="231" t="s">
        <v>564</v>
      </c>
      <c r="S162" s="231" t="s">
        <v>565</v>
      </c>
      <c r="T162" s="231" t="s">
        <v>566</v>
      </c>
      <c r="U162" s="231" t="s">
        <v>572</v>
      </c>
      <c r="V162" s="231" t="s">
        <v>568</v>
      </c>
      <c r="W162" s="231" t="s">
        <v>567</v>
      </c>
      <c r="X162" s="231" t="s">
        <v>570</v>
      </c>
      <c r="Y162" s="231" t="s">
        <v>571</v>
      </c>
      <c r="AA162" s="231">
        <f t="shared" si="259"/>
        <v>0</v>
      </c>
      <c r="AB162" s="231">
        <f t="shared" si="260"/>
        <v>0</v>
      </c>
      <c r="AC162" s="231">
        <f t="shared" si="261"/>
        <v>0</v>
      </c>
      <c r="AD162" s="231">
        <f t="shared" si="262"/>
        <v>1</v>
      </c>
      <c r="AE162" s="231">
        <f t="shared" si="263"/>
        <v>1</v>
      </c>
      <c r="AF162" s="231">
        <f t="shared" si="264"/>
        <v>1</v>
      </c>
      <c r="AG162" s="231">
        <f t="shared" si="265"/>
        <v>0</v>
      </c>
      <c r="AH162" s="231">
        <f t="shared" si="266"/>
        <v>0</v>
      </c>
      <c r="AI162" s="231">
        <f t="shared" si="267"/>
        <v>1</v>
      </c>
      <c r="AJ162" s="231">
        <f t="shared" si="268"/>
        <v>1</v>
      </c>
      <c r="AK162" s="231">
        <f t="shared" si="269"/>
        <v>0</v>
      </c>
      <c r="AL162" s="231">
        <f t="shared" si="270"/>
        <v>1</v>
      </c>
      <c r="AM162" s="231">
        <f t="shared" si="271"/>
        <v>6</v>
      </c>
      <c r="DR162" s="250"/>
      <c r="DS162" s="251"/>
      <c r="DT162" s="252"/>
      <c r="DU162" s="253" t="s">
        <v>108</v>
      </c>
    </row>
    <row r="163" spans="4:125" x14ac:dyDescent="0.25">
      <c r="D163" s="231">
        <v>5</v>
      </c>
      <c r="H163" s="231" t="s">
        <v>69</v>
      </c>
      <c r="I163" s="231" t="s">
        <v>76</v>
      </c>
      <c r="J163" s="231" t="s">
        <v>75</v>
      </c>
      <c r="K163" s="231" t="s">
        <v>77</v>
      </c>
      <c r="M163" s="231" t="s">
        <v>515</v>
      </c>
      <c r="N163" s="231" t="s">
        <v>516</v>
      </c>
      <c r="O163" s="232" t="s">
        <v>517</v>
      </c>
      <c r="P163" s="231" t="s">
        <v>70</v>
      </c>
      <c r="R163" s="231" t="s">
        <v>564</v>
      </c>
      <c r="S163" s="231" t="s">
        <v>569</v>
      </c>
      <c r="T163" s="231" t="s">
        <v>566</v>
      </c>
      <c r="U163" s="231" t="s">
        <v>572</v>
      </c>
      <c r="V163" s="231" t="s">
        <v>565</v>
      </c>
      <c r="W163" s="231" t="s">
        <v>567</v>
      </c>
      <c r="X163" s="231" t="s">
        <v>570</v>
      </c>
      <c r="Y163" s="231" t="s">
        <v>571</v>
      </c>
      <c r="AA163" s="231">
        <f t="shared" si="259"/>
        <v>0</v>
      </c>
      <c r="AB163" s="231">
        <f t="shared" si="260"/>
        <v>0</v>
      </c>
      <c r="AC163" s="231">
        <f t="shared" si="261"/>
        <v>0</v>
      </c>
      <c r="AD163" s="231">
        <f t="shared" si="262"/>
        <v>1</v>
      </c>
      <c r="AE163" s="231">
        <f t="shared" si="263"/>
        <v>1</v>
      </c>
      <c r="AF163" s="231">
        <f t="shared" si="264"/>
        <v>1</v>
      </c>
      <c r="AG163" s="231">
        <f t="shared" si="265"/>
        <v>1</v>
      </c>
      <c r="AH163" s="231">
        <f t="shared" si="266"/>
        <v>0</v>
      </c>
      <c r="AI163" s="231">
        <f t="shared" si="267"/>
        <v>1</v>
      </c>
      <c r="AJ163" s="231">
        <f t="shared" si="268"/>
        <v>1</v>
      </c>
      <c r="AK163" s="231">
        <f t="shared" si="269"/>
        <v>0</v>
      </c>
      <c r="AL163" s="231">
        <f t="shared" si="270"/>
        <v>1</v>
      </c>
      <c r="AM163" s="231">
        <f t="shared" si="271"/>
        <v>7</v>
      </c>
      <c r="DR163" s="250"/>
      <c r="DS163" s="251"/>
      <c r="DT163" s="252"/>
      <c r="DU163" s="253"/>
    </row>
    <row r="164" spans="4:125" x14ac:dyDescent="0.25">
      <c r="D164" s="231">
        <v>6</v>
      </c>
      <c r="H164" s="231" t="s">
        <v>69</v>
      </c>
      <c r="I164" s="231" t="s">
        <v>76</v>
      </c>
      <c r="J164" s="231" t="s">
        <v>75</v>
      </c>
      <c r="K164" s="231" t="s">
        <v>77</v>
      </c>
      <c r="L164" s="231" t="s">
        <v>78</v>
      </c>
      <c r="N164" s="231" t="s">
        <v>516</v>
      </c>
      <c r="O164" s="232" t="s">
        <v>517</v>
      </c>
      <c r="P164" s="231" t="s">
        <v>70</v>
      </c>
      <c r="R164" s="231" t="s">
        <v>564</v>
      </c>
      <c r="S164" s="231" t="s">
        <v>569</v>
      </c>
      <c r="T164" s="231" t="s">
        <v>565</v>
      </c>
      <c r="U164" s="231" t="s">
        <v>572</v>
      </c>
      <c r="V164" s="231" t="s">
        <v>568</v>
      </c>
      <c r="W164" s="231" t="s">
        <v>567</v>
      </c>
      <c r="X164" s="231" t="s">
        <v>570</v>
      </c>
      <c r="Y164" s="231" t="s">
        <v>571</v>
      </c>
      <c r="AA164" s="231">
        <f t="shared" si="259"/>
        <v>0</v>
      </c>
      <c r="AB164" s="231">
        <f t="shared" si="260"/>
        <v>0</v>
      </c>
      <c r="AC164" s="231">
        <f t="shared" si="261"/>
        <v>0</v>
      </c>
      <c r="AD164" s="231">
        <f t="shared" si="262"/>
        <v>1</v>
      </c>
      <c r="AE164" s="231">
        <f t="shared" si="263"/>
        <v>1</v>
      </c>
      <c r="AF164" s="231">
        <f t="shared" si="264"/>
        <v>1</v>
      </c>
      <c r="AG164" s="231">
        <f t="shared" si="265"/>
        <v>1</v>
      </c>
      <c r="AH164" s="231">
        <f t="shared" si="266"/>
        <v>0</v>
      </c>
      <c r="AI164" s="231">
        <f t="shared" si="267"/>
        <v>0</v>
      </c>
      <c r="AJ164" s="231">
        <f t="shared" si="268"/>
        <v>1</v>
      </c>
      <c r="AK164" s="231">
        <f t="shared" si="269"/>
        <v>0</v>
      </c>
      <c r="AL164" s="231">
        <f t="shared" si="270"/>
        <v>1</v>
      </c>
      <c r="AM164" s="231">
        <f t="shared" si="271"/>
        <v>6</v>
      </c>
      <c r="DR164" s="250"/>
      <c r="DS164" s="251"/>
      <c r="DT164" s="252"/>
      <c r="DU164" s="253" t="s">
        <v>108</v>
      </c>
    </row>
    <row r="165" spans="4:125" x14ac:dyDescent="0.25">
      <c r="D165" s="231">
        <v>7</v>
      </c>
      <c r="H165" s="231" t="s">
        <v>69</v>
      </c>
      <c r="I165" s="231" t="s">
        <v>76</v>
      </c>
      <c r="J165" s="231" t="s">
        <v>75</v>
      </c>
      <c r="K165" s="231" t="s">
        <v>77</v>
      </c>
      <c r="L165" s="231" t="s">
        <v>78</v>
      </c>
      <c r="M165" s="231" t="s">
        <v>515</v>
      </c>
      <c r="O165" s="232" t="s">
        <v>517</v>
      </c>
      <c r="P165" s="231" t="s">
        <v>70</v>
      </c>
      <c r="R165" s="231" t="s">
        <v>564</v>
      </c>
      <c r="S165" s="231" t="s">
        <v>569</v>
      </c>
      <c r="T165" s="231" t="s">
        <v>566</v>
      </c>
      <c r="U165" s="231" t="s">
        <v>572</v>
      </c>
      <c r="V165" s="231" t="s">
        <v>568</v>
      </c>
      <c r="W165" s="231" t="s">
        <v>567</v>
      </c>
      <c r="X165" s="231" t="s">
        <v>570</v>
      </c>
      <c r="Y165" s="231" t="s">
        <v>571</v>
      </c>
      <c r="AA165" s="231">
        <f t="shared" si="259"/>
        <v>0</v>
      </c>
      <c r="AB165" s="231">
        <f t="shared" si="260"/>
        <v>0</v>
      </c>
      <c r="AC165" s="231">
        <f t="shared" si="261"/>
        <v>0</v>
      </c>
      <c r="AD165" s="231">
        <f t="shared" si="262"/>
        <v>1</v>
      </c>
      <c r="AE165" s="231">
        <f t="shared" si="263"/>
        <v>1</v>
      </c>
      <c r="AF165" s="231">
        <f t="shared" si="264"/>
        <v>1</v>
      </c>
      <c r="AG165" s="231">
        <f t="shared" si="265"/>
        <v>1</v>
      </c>
      <c r="AH165" s="231">
        <f t="shared" si="266"/>
        <v>0</v>
      </c>
      <c r="AI165" s="231">
        <f t="shared" si="267"/>
        <v>1</v>
      </c>
      <c r="AJ165" s="231">
        <f t="shared" si="268"/>
        <v>0</v>
      </c>
      <c r="AK165" s="231">
        <f t="shared" si="269"/>
        <v>0</v>
      </c>
      <c r="AL165" s="231">
        <f t="shared" si="270"/>
        <v>1</v>
      </c>
      <c r="AM165" s="231">
        <f t="shared" si="271"/>
        <v>6</v>
      </c>
    </row>
    <row r="166" spans="4:125" x14ac:dyDescent="0.25">
      <c r="D166" s="231">
        <v>8</v>
      </c>
      <c r="H166" s="231" t="s">
        <v>69</v>
      </c>
      <c r="I166" s="231" t="s">
        <v>76</v>
      </c>
      <c r="J166" s="231" t="s">
        <v>75</v>
      </c>
      <c r="K166" s="231" t="s">
        <v>77</v>
      </c>
      <c r="L166" s="231" t="s">
        <v>78</v>
      </c>
      <c r="M166" s="231" t="s">
        <v>515</v>
      </c>
      <c r="N166" s="231" t="s">
        <v>516</v>
      </c>
      <c r="P166" s="231" t="s">
        <v>70</v>
      </c>
      <c r="R166" s="231" t="s">
        <v>564</v>
      </c>
      <c r="S166" s="231" t="s">
        <v>569</v>
      </c>
      <c r="T166" s="231" t="s">
        <v>565</v>
      </c>
      <c r="U166" s="231" t="s">
        <v>572</v>
      </c>
      <c r="V166" s="231" t="s">
        <v>568</v>
      </c>
      <c r="W166" s="231" t="s">
        <v>567</v>
      </c>
      <c r="X166" s="231" t="s">
        <v>570</v>
      </c>
      <c r="Y166" s="231" t="s">
        <v>566</v>
      </c>
      <c r="AA166" s="231">
        <f t="shared" si="259"/>
        <v>0</v>
      </c>
      <c r="AB166" s="231">
        <f t="shared" si="260"/>
        <v>0</v>
      </c>
      <c r="AC166" s="231">
        <f t="shared" si="261"/>
        <v>0</v>
      </c>
      <c r="AD166" s="231">
        <f t="shared" si="262"/>
        <v>1</v>
      </c>
      <c r="AE166" s="231">
        <f t="shared" si="263"/>
        <v>1</v>
      </c>
      <c r="AF166" s="231">
        <f t="shared" si="264"/>
        <v>1</v>
      </c>
      <c r="AG166" s="231">
        <f t="shared" si="265"/>
        <v>1</v>
      </c>
      <c r="AH166" s="231">
        <f t="shared" si="266"/>
        <v>0</v>
      </c>
      <c r="AI166" s="231">
        <f t="shared" si="267"/>
        <v>1</v>
      </c>
      <c r="AJ166" s="231">
        <f t="shared" si="268"/>
        <v>1</v>
      </c>
      <c r="AK166" s="231">
        <f t="shared" si="269"/>
        <v>0</v>
      </c>
      <c r="AL166" s="231">
        <f t="shared" si="270"/>
        <v>1</v>
      </c>
      <c r="AM166" s="231">
        <f t="shared" si="271"/>
        <v>7</v>
      </c>
    </row>
    <row r="167" spans="4:125" x14ac:dyDescent="0.25">
      <c r="D167" s="231">
        <v>9</v>
      </c>
      <c r="H167" s="231" t="s">
        <v>69</v>
      </c>
      <c r="I167" s="231" t="s">
        <v>76</v>
      </c>
      <c r="J167" s="231" t="s">
        <v>75</v>
      </c>
      <c r="K167" s="231" t="s">
        <v>77</v>
      </c>
      <c r="L167" s="231" t="s">
        <v>78</v>
      </c>
      <c r="M167" s="231" t="s">
        <v>515</v>
      </c>
      <c r="N167" s="231" t="s">
        <v>516</v>
      </c>
      <c r="O167" s="232" t="s">
        <v>517</v>
      </c>
      <c r="R167" s="231" t="s">
        <v>564</v>
      </c>
      <c r="S167" s="231" t="s">
        <v>569</v>
      </c>
      <c r="T167" s="231" t="s">
        <v>565</v>
      </c>
      <c r="U167" s="231" t="s">
        <v>572</v>
      </c>
      <c r="V167" s="231" t="s">
        <v>568</v>
      </c>
      <c r="W167" s="231" t="s">
        <v>567</v>
      </c>
      <c r="X167" s="231" t="s">
        <v>566</v>
      </c>
      <c r="Y167" s="231" t="s">
        <v>571</v>
      </c>
      <c r="AA167" s="231">
        <f t="shared" si="259"/>
        <v>0</v>
      </c>
      <c r="AB167" s="231">
        <f t="shared" si="260"/>
        <v>0</v>
      </c>
      <c r="AC167" s="231">
        <f t="shared" si="261"/>
        <v>0</v>
      </c>
      <c r="AD167" s="231">
        <f t="shared" si="262"/>
        <v>1</v>
      </c>
      <c r="AE167" s="231">
        <f t="shared" si="263"/>
        <v>1</v>
      </c>
      <c r="AF167" s="231">
        <f t="shared" si="264"/>
        <v>1</v>
      </c>
      <c r="AG167" s="231">
        <f t="shared" si="265"/>
        <v>1</v>
      </c>
      <c r="AH167" s="231">
        <f t="shared" si="266"/>
        <v>0</v>
      </c>
      <c r="AI167" s="231">
        <f t="shared" si="267"/>
        <v>1</v>
      </c>
      <c r="AJ167" s="231">
        <f t="shared" si="268"/>
        <v>1</v>
      </c>
      <c r="AK167" s="231">
        <f t="shared" si="269"/>
        <v>0</v>
      </c>
      <c r="AL167" s="231">
        <f t="shared" si="270"/>
        <v>0</v>
      </c>
      <c r="AM167" s="231">
        <f t="shared" si="271"/>
        <v>6</v>
      </c>
    </row>
    <row r="168" spans="4:125" x14ac:dyDescent="0.25">
      <c r="D168" s="231">
        <v>10</v>
      </c>
      <c r="G168" s="231" t="s">
        <v>74</v>
      </c>
      <c r="J168" s="231" t="s">
        <v>75</v>
      </c>
      <c r="K168" s="231" t="s">
        <v>77</v>
      </c>
      <c r="L168" s="231" t="s">
        <v>78</v>
      </c>
      <c r="M168" s="231" t="s">
        <v>515</v>
      </c>
      <c r="N168" s="231" t="s">
        <v>516</v>
      </c>
      <c r="O168" s="232" t="s">
        <v>517</v>
      </c>
      <c r="P168" s="231" t="s">
        <v>70</v>
      </c>
      <c r="R168" s="231" t="s">
        <v>568</v>
      </c>
      <c r="S168" s="231" t="s">
        <v>569</v>
      </c>
      <c r="T168" s="231" t="s">
        <v>566</v>
      </c>
      <c r="U168" s="231" t="s">
        <v>573</v>
      </c>
      <c r="V168" s="231" t="s">
        <v>565</v>
      </c>
      <c r="W168" s="231" t="s">
        <v>567</v>
      </c>
      <c r="X168" s="231" t="s">
        <v>570</v>
      </c>
      <c r="Y168" s="231" t="s">
        <v>571</v>
      </c>
      <c r="AA168" s="231">
        <f t="shared" si="259"/>
        <v>0</v>
      </c>
      <c r="AB168" s="231">
        <f t="shared" si="260"/>
        <v>0</v>
      </c>
      <c r="AC168" s="231">
        <f t="shared" si="261"/>
        <v>1</v>
      </c>
      <c r="AD168" s="231">
        <f t="shared" si="262"/>
        <v>0</v>
      </c>
      <c r="AE168" s="231">
        <f t="shared" si="263"/>
        <v>0</v>
      </c>
      <c r="AF168" s="231">
        <f t="shared" si="264"/>
        <v>1</v>
      </c>
      <c r="AG168" s="231">
        <f t="shared" si="265"/>
        <v>1</v>
      </c>
      <c r="AH168" s="231">
        <f t="shared" si="266"/>
        <v>0</v>
      </c>
      <c r="AI168" s="231">
        <f t="shared" si="267"/>
        <v>1</v>
      </c>
      <c r="AJ168" s="231">
        <f t="shared" si="268"/>
        <v>1</v>
      </c>
      <c r="AK168" s="231">
        <f t="shared" si="269"/>
        <v>0</v>
      </c>
      <c r="AL168" s="231">
        <f t="shared" si="270"/>
        <v>1</v>
      </c>
      <c r="AM168" s="231">
        <f t="shared" si="271"/>
        <v>6</v>
      </c>
    </row>
    <row r="169" spans="4:125" x14ac:dyDescent="0.25">
      <c r="D169" s="231">
        <v>11</v>
      </c>
      <c r="G169" s="231" t="s">
        <v>74</v>
      </c>
      <c r="I169" s="231" t="s">
        <v>76</v>
      </c>
      <c r="K169" s="231" t="s">
        <v>77</v>
      </c>
      <c r="L169" s="231" t="s">
        <v>78</v>
      </c>
      <c r="M169" s="231" t="s">
        <v>515</v>
      </c>
      <c r="N169" s="231" t="s">
        <v>516</v>
      </c>
      <c r="O169" s="232" t="s">
        <v>517</v>
      </c>
      <c r="P169" s="231" t="s">
        <v>70</v>
      </c>
      <c r="R169" s="231" t="s">
        <v>564</v>
      </c>
      <c r="S169" s="231" t="s">
        <v>565</v>
      </c>
      <c r="T169" s="231" t="s">
        <v>566</v>
      </c>
      <c r="U169" s="231" t="s">
        <v>573</v>
      </c>
      <c r="V169" s="231" t="s">
        <v>568</v>
      </c>
      <c r="W169" s="231" t="s">
        <v>569</v>
      </c>
      <c r="X169" s="231" t="s">
        <v>570</v>
      </c>
      <c r="Y169" s="231" t="s">
        <v>571</v>
      </c>
      <c r="AA169" s="231">
        <f t="shared" si="259"/>
        <v>0</v>
      </c>
      <c r="AB169" s="231">
        <f t="shared" si="260"/>
        <v>0</v>
      </c>
      <c r="AC169" s="231">
        <f t="shared" si="261"/>
        <v>1</v>
      </c>
      <c r="AD169" s="231">
        <f t="shared" si="262"/>
        <v>0</v>
      </c>
      <c r="AE169" s="231">
        <f t="shared" si="263"/>
        <v>1</v>
      </c>
      <c r="AF169" s="231">
        <f t="shared" si="264"/>
        <v>0</v>
      </c>
      <c r="AG169" s="231">
        <f t="shared" si="265"/>
        <v>1</v>
      </c>
      <c r="AH169" s="231">
        <f t="shared" si="266"/>
        <v>0</v>
      </c>
      <c r="AI169" s="231">
        <f t="shared" si="267"/>
        <v>1</v>
      </c>
      <c r="AJ169" s="231">
        <f t="shared" si="268"/>
        <v>1</v>
      </c>
      <c r="AK169" s="231">
        <f t="shared" si="269"/>
        <v>0</v>
      </c>
      <c r="AL169" s="231">
        <f t="shared" si="270"/>
        <v>1</v>
      </c>
      <c r="AM169" s="231">
        <f t="shared" si="271"/>
        <v>6</v>
      </c>
    </row>
    <row r="170" spans="4:125" x14ac:dyDescent="0.25">
      <c r="D170" s="231">
        <v>12</v>
      </c>
      <c r="G170" s="231" t="s">
        <v>74</v>
      </c>
      <c r="I170" s="231" t="s">
        <v>76</v>
      </c>
      <c r="J170" s="231" t="s">
        <v>75</v>
      </c>
      <c r="L170" s="231" t="s">
        <v>78</v>
      </c>
      <c r="M170" s="231" t="s">
        <v>515</v>
      </c>
      <c r="N170" s="231" t="s">
        <v>516</v>
      </c>
      <c r="O170" s="232" t="s">
        <v>517</v>
      </c>
      <c r="P170" s="231" t="s">
        <v>70</v>
      </c>
      <c r="R170" s="231" t="s">
        <v>564</v>
      </c>
      <c r="S170" s="231" t="s">
        <v>565</v>
      </c>
      <c r="T170" s="231" t="s">
        <v>566</v>
      </c>
      <c r="U170" s="231" t="s">
        <v>573</v>
      </c>
      <c r="V170" s="231" t="s">
        <v>568</v>
      </c>
      <c r="W170" s="231" t="s">
        <v>567</v>
      </c>
      <c r="X170" s="231" t="s">
        <v>570</v>
      </c>
      <c r="Y170" s="231" t="s">
        <v>571</v>
      </c>
      <c r="AA170" s="231">
        <f t="shared" si="259"/>
        <v>0</v>
      </c>
      <c r="AB170" s="231">
        <f t="shared" si="260"/>
        <v>0</v>
      </c>
      <c r="AC170" s="231">
        <f t="shared" si="261"/>
        <v>1</v>
      </c>
      <c r="AD170" s="231">
        <f t="shared" si="262"/>
        <v>0</v>
      </c>
      <c r="AE170" s="231">
        <f t="shared" si="263"/>
        <v>1</v>
      </c>
      <c r="AF170" s="231">
        <f t="shared" si="264"/>
        <v>1</v>
      </c>
      <c r="AG170" s="231">
        <f t="shared" si="265"/>
        <v>0</v>
      </c>
      <c r="AH170" s="231">
        <f t="shared" si="266"/>
        <v>0</v>
      </c>
      <c r="AI170" s="231">
        <f t="shared" si="267"/>
        <v>1</v>
      </c>
      <c r="AJ170" s="231">
        <f t="shared" si="268"/>
        <v>1</v>
      </c>
      <c r="AK170" s="231">
        <f t="shared" si="269"/>
        <v>0</v>
      </c>
      <c r="AL170" s="231">
        <f t="shared" si="270"/>
        <v>1</v>
      </c>
      <c r="AM170" s="231">
        <f t="shared" si="271"/>
        <v>6</v>
      </c>
    </row>
    <row r="171" spans="4:125" x14ac:dyDescent="0.25">
      <c r="D171" s="231">
        <v>13</v>
      </c>
      <c r="G171" s="231" t="s">
        <v>74</v>
      </c>
      <c r="I171" s="231" t="s">
        <v>76</v>
      </c>
      <c r="J171" s="231" t="s">
        <v>75</v>
      </c>
      <c r="K171" s="231" t="s">
        <v>77</v>
      </c>
      <c r="M171" s="231" t="s">
        <v>515</v>
      </c>
      <c r="N171" s="231" t="s">
        <v>516</v>
      </c>
      <c r="O171" s="232" t="s">
        <v>517</v>
      </c>
      <c r="P171" s="231" t="s">
        <v>70</v>
      </c>
      <c r="R171" s="231" t="s">
        <v>564</v>
      </c>
      <c r="S171" s="231" t="s">
        <v>569</v>
      </c>
      <c r="T171" s="231" t="s">
        <v>566</v>
      </c>
      <c r="U171" s="231" t="s">
        <v>573</v>
      </c>
      <c r="V171" s="231" t="s">
        <v>565</v>
      </c>
      <c r="W171" s="231" t="s">
        <v>567</v>
      </c>
      <c r="X171" s="231" t="s">
        <v>570</v>
      </c>
      <c r="Y171" s="231" t="s">
        <v>571</v>
      </c>
      <c r="AA171" s="231">
        <f t="shared" si="259"/>
        <v>0</v>
      </c>
      <c r="AB171" s="231">
        <f t="shared" si="260"/>
        <v>0</v>
      </c>
      <c r="AC171" s="231">
        <f t="shared" si="261"/>
        <v>1</v>
      </c>
      <c r="AD171" s="231">
        <f t="shared" si="262"/>
        <v>0</v>
      </c>
      <c r="AE171" s="231">
        <f t="shared" si="263"/>
        <v>1</v>
      </c>
      <c r="AF171" s="231">
        <f t="shared" si="264"/>
        <v>1</v>
      </c>
      <c r="AG171" s="231">
        <f t="shared" si="265"/>
        <v>1</v>
      </c>
      <c r="AH171" s="231">
        <f t="shared" si="266"/>
        <v>0</v>
      </c>
      <c r="AI171" s="231">
        <f t="shared" si="267"/>
        <v>1</v>
      </c>
      <c r="AJ171" s="231">
        <f t="shared" si="268"/>
        <v>1</v>
      </c>
      <c r="AK171" s="231">
        <f t="shared" si="269"/>
        <v>0</v>
      </c>
      <c r="AL171" s="231">
        <f t="shared" si="270"/>
        <v>1</v>
      </c>
      <c r="AM171" s="231">
        <f t="shared" si="271"/>
        <v>7</v>
      </c>
    </row>
    <row r="172" spans="4:125" x14ac:dyDescent="0.25">
      <c r="D172" s="231">
        <v>14</v>
      </c>
      <c r="G172" s="231" t="s">
        <v>74</v>
      </c>
      <c r="I172" s="231" t="s">
        <v>76</v>
      </c>
      <c r="J172" s="231" t="s">
        <v>75</v>
      </c>
      <c r="K172" s="231" t="s">
        <v>77</v>
      </c>
      <c r="L172" s="231" t="s">
        <v>78</v>
      </c>
      <c r="N172" s="231" t="s">
        <v>516</v>
      </c>
      <c r="O172" s="232" t="s">
        <v>517</v>
      </c>
      <c r="P172" s="231" t="s">
        <v>70</v>
      </c>
      <c r="R172" s="231" t="s">
        <v>564</v>
      </c>
      <c r="S172" s="231" t="s">
        <v>569</v>
      </c>
      <c r="T172" s="231" t="s">
        <v>565</v>
      </c>
      <c r="U172" s="231" t="s">
        <v>573</v>
      </c>
      <c r="V172" s="231" t="s">
        <v>568</v>
      </c>
      <c r="W172" s="231" t="s">
        <v>567</v>
      </c>
      <c r="X172" s="231" t="s">
        <v>570</v>
      </c>
      <c r="Y172" s="231" t="s">
        <v>571</v>
      </c>
      <c r="AA172" s="231">
        <f t="shared" si="259"/>
        <v>0</v>
      </c>
      <c r="AB172" s="231">
        <f t="shared" si="260"/>
        <v>0</v>
      </c>
      <c r="AC172" s="231">
        <f t="shared" si="261"/>
        <v>1</v>
      </c>
      <c r="AD172" s="231">
        <f t="shared" si="262"/>
        <v>0</v>
      </c>
      <c r="AE172" s="231">
        <f t="shared" si="263"/>
        <v>1</v>
      </c>
      <c r="AF172" s="231">
        <f t="shared" si="264"/>
        <v>1</v>
      </c>
      <c r="AG172" s="231">
        <f t="shared" si="265"/>
        <v>1</v>
      </c>
      <c r="AH172" s="231">
        <f t="shared" si="266"/>
        <v>0</v>
      </c>
      <c r="AI172" s="231">
        <f t="shared" si="267"/>
        <v>0</v>
      </c>
      <c r="AJ172" s="231">
        <f t="shared" si="268"/>
        <v>1</v>
      </c>
      <c r="AK172" s="231">
        <f t="shared" si="269"/>
        <v>0</v>
      </c>
      <c r="AL172" s="231">
        <f t="shared" si="270"/>
        <v>1</v>
      </c>
      <c r="AM172" s="231">
        <f t="shared" si="271"/>
        <v>6</v>
      </c>
    </row>
    <row r="173" spans="4:125" x14ac:dyDescent="0.25">
      <c r="D173" s="231">
        <v>15</v>
      </c>
      <c r="G173" s="231" t="s">
        <v>74</v>
      </c>
      <c r="I173" s="231" t="s">
        <v>76</v>
      </c>
      <c r="J173" s="231" t="s">
        <v>75</v>
      </c>
      <c r="K173" s="231" t="s">
        <v>77</v>
      </c>
      <c r="L173" s="231" t="s">
        <v>78</v>
      </c>
      <c r="M173" s="231" t="s">
        <v>515</v>
      </c>
      <c r="O173" s="232" t="s">
        <v>517</v>
      </c>
      <c r="P173" s="231" t="s">
        <v>70</v>
      </c>
      <c r="R173" s="231" t="s">
        <v>564</v>
      </c>
      <c r="S173" s="231" t="s">
        <v>569</v>
      </c>
      <c r="T173" s="231" t="s">
        <v>566</v>
      </c>
      <c r="U173" s="231" t="s">
        <v>573</v>
      </c>
      <c r="V173" s="231" t="s">
        <v>568</v>
      </c>
      <c r="W173" s="231" t="s">
        <v>567</v>
      </c>
      <c r="X173" s="231" t="s">
        <v>570</v>
      </c>
      <c r="Y173" s="231" t="s">
        <v>571</v>
      </c>
      <c r="AA173" s="231">
        <f t="shared" si="259"/>
        <v>0</v>
      </c>
      <c r="AB173" s="231">
        <f t="shared" si="260"/>
        <v>0</v>
      </c>
      <c r="AC173" s="231">
        <f t="shared" si="261"/>
        <v>1</v>
      </c>
      <c r="AD173" s="231">
        <f t="shared" si="262"/>
        <v>0</v>
      </c>
      <c r="AE173" s="231">
        <f t="shared" si="263"/>
        <v>1</v>
      </c>
      <c r="AF173" s="231">
        <f t="shared" si="264"/>
        <v>1</v>
      </c>
      <c r="AG173" s="231">
        <f t="shared" si="265"/>
        <v>1</v>
      </c>
      <c r="AH173" s="231">
        <f t="shared" si="266"/>
        <v>0</v>
      </c>
      <c r="AI173" s="231">
        <f t="shared" si="267"/>
        <v>1</v>
      </c>
      <c r="AJ173" s="231">
        <f t="shared" si="268"/>
        <v>0</v>
      </c>
      <c r="AK173" s="231">
        <f t="shared" si="269"/>
        <v>0</v>
      </c>
      <c r="AL173" s="231">
        <f t="shared" si="270"/>
        <v>1</v>
      </c>
      <c r="AM173" s="231">
        <f t="shared" si="271"/>
        <v>6</v>
      </c>
    </row>
    <row r="174" spans="4:125" x14ac:dyDescent="0.25">
      <c r="D174" s="231">
        <v>16</v>
      </c>
      <c r="G174" s="231" t="s">
        <v>74</v>
      </c>
      <c r="I174" s="231" t="s">
        <v>76</v>
      </c>
      <c r="J174" s="231" t="s">
        <v>75</v>
      </c>
      <c r="K174" s="231" t="s">
        <v>77</v>
      </c>
      <c r="L174" s="231" t="s">
        <v>78</v>
      </c>
      <c r="M174" s="231" t="s">
        <v>515</v>
      </c>
      <c r="N174" s="231" t="s">
        <v>516</v>
      </c>
      <c r="P174" s="231" t="s">
        <v>70</v>
      </c>
      <c r="R174" s="231" t="s">
        <v>564</v>
      </c>
      <c r="S174" s="231" t="s">
        <v>569</v>
      </c>
      <c r="T174" s="231" t="s">
        <v>565</v>
      </c>
      <c r="U174" s="231" t="s">
        <v>573</v>
      </c>
      <c r="V174" s="231" t="s">
        <v>568</v>
      </c>
      <c r="W174" s="231" t="s">
        <v>567</v>
      </c>
      <c r="X174" s="231" t="s">
        <v>570</v>
      </c>
      <c r="Y174" s="231" t="s">
        <v>566</v>
      </c>
      <c r="AA174" s="231">
        <f t="shared" si="259"/>
        <v>0</v>
      </c>
      <c r="AB174" s="231">
        <f t="shared" si="260"/>
        <v>0</v>
      </c>
      <c r="AC174" s="231">
        <f t="shared" si="261"/>
        <v>1</v>
      </c>
      <c r="AD174" s="231">
        <f t="shared" si="262"/>
        <v>0</v>
      </c>
      <c r="AE174" s="231">
        <f t="shared" si="263"/>
        <v>1</v>
      </c>
      <c r="AF174" s="231">
        <f t="shared" si="264"/>
        <v>1</v>
      </c>
      <c r="AG174" s="231">
        <f t="shared" si="265"/>
        <v>1</v>
      </c>
      <c r="AH174" s="231">
        <f t="shared" si="266"/>
        <v>0</v>
      </c>
      <c r="AI174" s="231">
        <f t="shared" si="267"/>
        <v>1</v>
      </c>
      <c r="AJ174" s="231">
        <f t="shared" si="268"/>
        <v>1</v>
      </c>
      <c r="AK174" s="231">
        <f t="shared" si="269"/>
        <v>0</v>
      </c>
      <c r="AL174" s="231">
        <f t="shared" si="270"/>
        <v>1</v>
      </c>
      <c r="AM174" s="231">
        <f t="shared" si="271"/>
        <v>7</v>
      </c>
    </row>
    <row r="175" spans="4:125" x14ac:dyDescent="0.25">
      <c r="D175" s="231">
        <v>17</v>
      </c>
      <c r="G175" s="231" t="s">
        <v>74</v>
      </c>
      <c r="I175" s="231" t="s">
        <v>76</v>
      </c>
      <c r="J175" s="231" t="s">
        <v>75</v>
      </c>
      <c r="K175" s="231" t="s">
        <v>77</v>
      </c>
      <c r="L175" s="231" t="s">
        <v>78</v>
      </c>
      <c r="M175" s="231" t="s">
        <v>515</v>
      </c>
      <c r="N175" s="231" t="s">
        <v>516</v>
      </c>
      <c r="O175" s="232" t="s">
        <v>517</v>
      </c>
      <c r="R175" s="231" t="s">
        <v>564</v>
      </c>
      <c r="S175" s="231" t="s">
        <v>569</v>
      </c>
      <c r="T175" s="231" t="s">
        <v>565</v>
      </c>
      <c r="U175" s="231" t="s">
        <v>573</v>
      </c>
      <c r="V175" s="231" t="s">
        <v>568</v>
      </c>
      <c r="W175" s="231" t="s">
        <v>567</v>
      </c>
      <c r="X175" s="231" t="s">
        <v>566</v>
      </c>
      <c r="Y175" s="231" t="s">
        <v>571</v>
      </c>
      <c r="AA175" s="231">
        <f t="shared" si="259"/>
        <v>0</v>
      </c>
      <c r="AB175" s="231">
        <f t="shared" si="260"/>
        <v>0</v>
      </c>
      <c r="AC175" s="231">
        <f t="shared" si="261"/>
        <v>1</v>
      </c>
      <c r="AD175" s="231">
        <f t="shared" si="262"/>
        <v>0</v>
      </c>
      <c r="AE175" s="231">
        <f t="shared" si="263"/>
        <v>1</v>
      </c>
      <c r="AF175" s="231">
        <f t="shared" si="264"/>
        <v>1</v>
      </c>
      <c r="AG175" s="231">
        <f t="shared" si="265"/>
        <v>1</v>
      </c>
      <c r="AH175" s="231">
        <f t="shared" si="266"/>
        <v>0</v>
      </c>
      <c r="AI175" s="231">
        <f t="shared" si="267"/>
        <v>1</v>
      </c>
      <c r="AJ175" s="231">
        <f t="shared" si="268"/>
        <v>1</v>
      </c>
      <c r="AK175" s="231">
        <f t="shared" si="269"/>
        <v>0</v>
      </c>
      <c r="AL175" s="231">
        <f t="shared" si="270"/>
        <v>0</v>
      </c>
      <c r="AM175" s="231">
        <f t="shared" si="271"/>
        <v>6</v>
      </c>
    </row>
    <row r="176" spans="4:125" x14ac:dyDescent="0.25">
      <c r="D176" s="231">
        <v>18</v>
      </c>
      <c r="G176" s="231" t="s">
        <v>74</v>
      </c>
      <c r="H176" s="231" t="s">
        <v>69</v>
      </c>
      <c r="K176" s="231" t="s">
        <v>77</v>
      </c>
      <c r="L176" s="231" t="s">
        <v>78</v>
      </c>
      <c r="M176" s="231" t="s">
        <v>515</v>
      </c>
      <c r="N176" s="231" t="s">
        <v>516</v>
      </c>
      <c r="O176" s="232" t="s">
        <v>517</v>
      </c>
      <c r="P176" s="231" t="s">
        <v>70</v>
      </c>
      <c r="R176" s="231" t="s">
        <v>568</v>
      </c>
      <c r="S176" s="231" t="s">
        <v>569</v>
      </c>
      <c r="T176" s="231" t="s">
        <v>566</v>
      </c>
      <c r="U176" s="231" t="s">
        <v>573</v>
      </c>
      <c r="V176" s="231" t="s">
        <v>565</v>
      </c>
      <c r="W176" s="231" t="s">
        <v>572</v>
      </c>
      <c r="X176" s="231" t="s">
        <v>570</v>
      </c>
      <c r="Y176" s="231" t="s">
        <v>571</v>
      </c>
      <c r="AA176" s="231">
        <f t="shared" si="259"/>
        <v>0</v>
      </c>
      <c r="AB176" s="231">
        <f t="shared" si="260"/>
        <v>0</v>
      </c>
      <c r="AC176" s="231">
        <f t="shared" si="261"/>
        <v>1</v>
      </c>
      <c r="AD176" s="231">
        <f t="shared" si="262"/>
        <v>1</v>
      </c>
      <c r="AE176" s="231">
        <f t="shared" si="263"/>
        <v>0</v>
      </c>
      <c r="AF176" s="231">
        <f t="shared" si="264"/>
        <v>0</v>
      </c>
      <c r="AG176" s="231">
        <f t="shared" si="265"/>
        <v>1</v>
      </c>
      <c r="AH176" s="231">
        <f t="shared" si="266"/>
        <v>0</v>
      </c>
      <c r="AI176" s="231">
        <f t="shared" si="267"/>
        <v>1</v>
      </c>
      <c r="AJ176" s="231">
        <f t="shared" si="268"/>
        <v>1</v>
      </c>
      <c r="AK176" s="231">
        <f t="shared" si="269"/>
        <v>0</v>
      </c>
      <c r="AL176" s="231">
        <f t="shared" si="270"/>
        <v>1</v>
      </c>
      <c r="AM176" s="231">
        <f t="shared" si="271"/>
        <v>6</v>
      </c>
    </row>
    <row r="177" spans="4:39" x14ac:dyDescent="0.25">
      <c r="D177" s="231">
        <v>19</v>
      </c>
      <c r="G177" s="231" t="s">
        <v>74</v>
      </c>
      <c r="H177" s="231" t="s">
        <v>69</v>
      </c>
      <c r="J177" s="231" t="s">
        <v>75</v>
      </c>
      <c r="L177" s="231" t="s">
        <v>78</v>
      </c>
      <c r="M177" s="231" t="s">
        <v>515</v>
      </c>
      <c r="N177" s="231" t="s">
        <v>516</v>
      </c>
      <c r="O177" s="232" t="s">
        <v>517</v>
      </c>
      <c r="P177" s="231" t="s">
        <v>70</v>
      </c>
      <c r="R177" s="231" t="s">
        <v>573</v>
      </c>
      <c r="S177" s="231" t="s">
        <v>565</v>
      </c>
      <c r="T177" s="231" t="s">
        <v>566</v>
      </c>
      <c r="U177" s="231" t="s">
        <v>572</v>
      </c>
      <c r="V177" s="231" t="s">
        <v>568</v>
      </c>
      <c r="W177" s="231" t="s">
        <v>567</v>
      </c>
      <c r="X177" s="231" t="s">
        <v>570</v>
      </c>
      <c r="Y177" s="231" t="s">
        <v>571</v>
      </c>
      <c r="AA177" s="231">
        <f t="shared" si="259"/>
        <v>0</v>
      </c>
      <c r="AB177" s="231">
        <f t="shared" si="260"/>
        <v>0</v>
      </c>
      <c r="AC177" s="231">
        <f t="shared" si="261"/>
        <v>1</v>
      </c>
      <c r="AD177" s="231">
        <f t="shared" si="262"/>
        <v>1</v>
      </c>
      <c r="AE177" s="231">
        <f t="shared" si="263"/>
        <v>0</v>
      </c>
      <c r="AF177" s="231">
        <f t="shared" si="264"/>
        <v>1</v>
      </c>
      <c r="AG177" s="231">
        <f t="shared" si="265"/>
        <v>0</v>
      </c>
      <c r="AH177" s="231">
        <f t="shared" si="266"/>
        <v>0</v>
      </c>
      <c r="AI177" s="231">
        <f t="shared" si="267"/>
        <v>1</v>
      </c>
      <c r="AJ177" s="231">
        <f t="shared" si="268"/>
        <v>1</v>
      </c>
      <c r="AK177" s="231">
        <f t="shared" si="269"/>
        <v>0</v>
      </c>
      <c r="AL177" s="231">
        <f t="shared" si="270"/>
        <v>1</v>
      </c>
      <c r="AM177" s="231">
        <f t="shared" si="271"/>
        <v>6</v>
      </c>
    </row>
    <row r="178" spans="4:39" x14ac:dyDescent="0.25">
      <c r="D178" s="231">
        <v>20</v>
      </c>
      <c r="G178" s="231" t="s">
        <v>74</v>
      </c>
      <c r="H178" s="231" t="s">
        <v>69</v>
      </c>
      <c r="J178" s="231" t="s">
        <v>75</v>
      </c>
      <c r="K178" s="231" t="s">
        <v>77</v>
      </c>
      <c r="M178" s="231" t="s">
        <v>515</v>
      </c>
      <c r="N178" s="231" t="s">
        <v>516</v>
      </c>
      <c r="O178" s="232" t="s">
        <v>517</v>
      </c>
      <c r="P178" s="231" t="s">
        <v>70</v>
      </c>
      <c r="R178" s="231" t="s">
        <v>573</v>
      </c>
      <c r="S178" s="231" t="s">
        <v>569</v>
      </c>
      <c r="T178" s="231" t="s">
        <v>566</v>
      </c>
      <c r="U178" s="231" t="s">
        <v>572</v>
      </c>
      <c r="V178" s="231" t="s">
        <v>565</v>
      </c>
      <c r="W178" s="231" t="s">
        <v>567</v>
      </c>
      <c r="X178" s="231" t="s">
        <v>570</v>
      </c>
      <c r="Y178" s="231" t="s">
        <v>571</v>
      </c>
      <c r="AA178" s="231">
        <f t="shared" si="259"/>
        <v>0</v>
      </c>
      <c r="AB178" s="231">
        <f t="shared" si="260"/>
        <v>0</v>
      </c>
      <c r="AC178" s="231">
        <f t="shared" si="261"/>
        <v>1</v>
      </c>
      <c r="AD178" s="231">
        <f t="shared" si="262"/>
        <v>1</v>
      </c>
      <c r="AE178" s="231">
        <f t="shared" si="263"/>
        <v>0</v>
      </c>
      <c r="AF178" s="231">
        <f t="shared" si="264"/>
        <v>1</v>
      </c>
      <c r="AG178" s="231">
        <f t="shared" si="265"/>
        <v>1</v>
      </c>
      <c r="AH178" s="231">
        <f t="shared" si="266"/>
        <v>0</v>
      </c>
      <c r="AI178" s="231">
        <f t="shared" si="267"/>
        <v>1</v>
      </c>
      <c r="AJ178" s="231">
        <f t="shared" si="268"/>
        <v>1</v>
      </c>
      <c r="AK178" s="231">
        <f t="shared" si="269"/>
        <v>0</v>
      </c>
      <c r="AL178" s="231">
        <f t="shared" si="270"/>
        <v>1</v>
      </c>
      <c r="AM178" s="231">
        <f t="shared" si="271"/>
        <v>7</v>
      </c>
    </row>
    <row r="179" spans="4:39" x14ac:dyDescent="0.25">
      <c r="D179" s="231">
        <v>21</v>
      </c>
      <c r="G179" s="231" t="s">
        <v>74</v>
      </c>
      <c r="H179" s="231" t="s">
        <v>69</v>
      </c>
      <c r="J179" s="231" t="s">
        <v>75</v>
      </c>
      <c r="K179" s="231" t="s">
        <v>77</v>
      </c>
      <c r="L179" s="231" t="s">
        <v>78</v>
      </c>
      <c r="N179" s="231" t="s">
        <v>516</v>
      </c>
      <c r="O179" s="232" t="s">
        <v>517</v>
      </c>
      <c r="P179" s="231" t="s">
        <v>70</v>
      </c>
      <c r="R179" s="231" t="s">
        <v>573</v>
      </c>
      <c r="S179" s="231" t="s">
        <v>569</v>
      </c>
      <c r="T179" s="231" t="s">
        <v>565</v>
      </c>
      <c r="U179" s="231" t="s">
        <v>572</v>
      </c>
      <c r="V179" s="231" t="s">
        <v>568</v>
      </c>
      <c r="W179" s="231" t="s">
        <v>567</v>
      </c>
      <c r="X179" s="231" t="s">
        <v>570</v>
      </c>
      <c r="Y179" s="231" t="s">
        <v>571</v>
      </c>
      <c r="AA179" s="231">
        <f t="shared" si="259"/>
        <v>0</v>
      </c>
      <c r="AB179" s="231">
        <f t="shared" si="260"/>
        <v>0</v>
      </c>
      <c r="AC179" s="231">
        <f t="shared" si="261"/>
        <v>1</v>
      </c>
      <c r="AD179" s="231">
        <f t="shared" si="262"/>
        <v>1</v>
      </c>
      <c r="AE179" s="231">
        <f t="shared" si="263"/>
        <v>0</v>
      </c>
      <c r="AF179" s="231">
        <f t="shared" si="264"/>
        <v>1</v>
      </c>
      <c r="AG179" s="231">
        <f t="shared" si="265"/>
        <v>1</v>
      </c>
      <c r="AH179" s="231">
        <f t="shared" si="266"/>
        <v>0</v>
      </c>
      <c r="AI179" s="231">
        <f t="shared" si="267"/>
        <v>0</v>
      </c>
      <c r="AJ179" s="231">
        <f t="shared" si="268"/>
        <v>1</v>
      </c>
      <c r="AK179" s="231">
        <f t="shared" si="269"/>
        <v>0</v>
      </c>
      <c r="AL179" s="231">
        <f t="shared" si="270"/>
        <v>1</v>
      </c>
      <c r="AM179" s="231">
        <f t="shared" si="271"/>
        <v>6</v>
      </c>
    </row>
    <row r="180" spans="4:39" x14ac:dyDescent="0.25">
      <c r="D180" s="231">
        <v>22</v>
      </c>
      <c r="G180" s="231" t="s">
        <v>74</v>
      </c>
      <c r="H180" s="231" t="s">
        <v>69</v>
      </c>
      <c r="J180" s="231" t="s">
        <v>75</v>
      </c>
      <c r="K180" s="231" t="s">
        <v>77</v>
      </c>
      <c r="L180" s="231" t="s">
        <v>78</v>
      </c>
      <c r="M180" s="231" t="s">
        <v>515</v>
      </c>
      <c r="O180" s="232" t="s">
        <v>517</v>
      </c>
      <c r="P180" s="231" t="s">
        <v>70</v>
      </c>
      <c r="R180" s="231" t="s">
        <v>573</v>
      </c>
      <c r="S180" s="231" t="s">
        <v>569</v>
      </c>
      <c r="T180" s="231" t="s">
        <v>566</v>
      </c>
      <c r="U180" s="231" t="s">
        <v>572</v>
      </c>
      <c r="V180" s="231" t="s">
        <v>568</v>
      </c>
      <c r="W180" s="231" t="s">
        <v>567</v>
      </c>
      <c r="X180" s="231" t="s">
        <v>570</v>
      </c>
      <c r="Y180" s="231" t="s">
        <v>571</v>
      </c>
      <c r="AA180" s="231">
        <f t="shared" si="259"/>
        <v>0</v>
      </c>
      <c r="AB180" s="231">
        <f t="shared" si="260"/>
        <v>0</v>
      </c>
      <c r="AC180" s="231">
        <f t="shared" si="261"/>
        <v>1</v>
      </c>
      <c r="AD180" s="231">
        <f t="shared" si="262"/>
        <v>1</v>
      </c>
      <c r="AE180" s="231">
        <f t="shared" si="263"/>
        <v>0</v>
      </c>
      <c r="AF180" s="231">
        <f t="shared" si="264"/>
        <v>1</v>
      </c>
      <c r="AG180" s="231">
        <f t="shared" si="265"/>
        <v>1</v>
      </c>
      <c r="AH180" s="231">
        <f t="shared" si="266"/>
        <v>0</v>
      </c>
      <c r="AI180" s="231">
        <f t="shared" si="267"/>
        <v>1</v>
      </c>
      <c r="AJ180" s="231">
        <f t="shared" si="268"/>
        <v>0</v>
      </c>
      <c r="AK180" s="231">
        <f t="shared" si="269"/>
        <v>0</v>
      </c>
      <c r="AL180" s="231">
        <f t="shared" si="270"/>
        <v>1</v>
      </c>
      <c r="AM180" s="231">
        <f t="shared" si="271"/>
        <v>6</v>
      </c>
    </row>
    <row r="181" spans="4:39" x14ac:dyDescent="0.25">
      <c r="D181" s="231">
        <v>23</v>
      </c>
      <c r="G181" s="231" t="s">
        <v>74</v>
      </c>
      <c r="H181" s="231" t="s">
        <v>69</v>
      </c>
      <c r="J181" s="231" t="s">
        <v>75</v>
      </c>
      <c r="K181" s="231" t="s">
        <v>77</v>
      </c>
      <c r="L181" s="231" t="s">
        <v>78</v>
      </c>
      <c r="M181" s="231" t="s">
        <v>515</v>
      </c>
      <c r="N181" s="231" t="s">
        <v>516</v>
      </c>
      <c r="P181" s="231" t="s">
        <v>70</v>
      </c>
      <c r="R181" s="231" t="s">
        <v>573</v>
      </c>
      <c r="S181" s="231" t="s">
        <v>569</v>
      </c>
      <c r="T181" s="231" t="s">
        <v>565</v>
      </c>
      <c r="U181" s="231" t="s">
        <v>572</v>
      </c>
      <c r="V181" s="231" t="s">
        <v>568</v>
      </c>
      <c r="W181" s="231" t="s">
        <v>567</v>
      </c>
      <c r="X181" s="231" t="s">
        <v>570</v>
      </c>
      <c r="Y181" s="231" t="s">
        <v>566</v>
      </c>
      <c r="AA181" s="231">
        <f t="shared" si="259"/>
        <v>0</v>
      </c>
      <c r="AB181" s="231">
        <f t="shared" si="260"/>
        <v>0</v>
      </c>
      <c r="AC181" s="231">
        <f t="shared" si="261"/>
        <v>1</v>
      </c>
      <c r="AD181" s="231">
        <f t="shared" si="262"/>
        <v>1</v>
      </c>
      <c r="AE181" s="231">
        <f t="shared" si="263"/>
        <v>0</v>
      </c>
      <c r="AF181" s="231">
        <f t="shared" si="264"/>
        <v>1</v>
      </c>
      <c r="AG181" s="231">
        <f t="shared" si="265"/>
        <v>1</v>
      </c>
      <c r="AH181" s="231">
        <f t="shared" si="266"/>
        <v>0</v>
      </c>
      <c r="AI181" s="231">
        <f t="shared" si="267"/>
        <v>1</v>
      </c>
      <c r="AJ181" s="231">
        <f t="shared" si="268"/>
        <v>1</v>
      </c>
      <c r="AK181" s="231">
        <f t="shared" si="269"/>
        <v>0</v>
      </c>
      <c r="AL181" s="231">
        <f t="shared" si="270"/>
        <v>1</v>
      </c>
      <c r="AM181" s="231">
        <f t="shared" si="271"/>
        <v>7</v>
      </c>
    </row>
    <row r="182" spans="4:39" x14ac:dyDescent="0.25">
      <c r="D182" s="231">
        <v>24</v>
      </c>
      <c r="G182" s="231" t="s">
        <v>74</v>
      </c>
      <c r="H182" s="231" t="s">
        <v>69</v>
      </c>
      <c r="J182" s="231" t="s">
        <v>75</v>
      </c>
      <c r="K182" s="231" t="s">
        <v>77</v>
      </c>
      <c r="L182" s="231" t="s">
        <v>78</v>
      </c>
      <c r="M182" s="231" t="s">
        <v>515</v>
      </c>
      <c r="N182" s="231" t="s">
        <v>516</v>
      </c>
      <c r="O182" s="232" t="s">
        <v>517</v>
      </c>
      <c r="R182" s="231" t="s">
        <v>573</v>
      </c>
      <c r="S182" s="231" t="s">
        <v>569</v>
      </c>
      <c r="T182" s="231" t="s">
        <v>565</v>
      </c>
      <c r="U182" s="231" t="s">
        <v>572</v>
      </c>
      <c r="V182" s="231" t="s">
        <v>568</v>
      </c>
      <c r="W182" s="231" t="s">
        <v>567</v>
      </c>
      <c r="X182" s="231" t="s">
        <v>566</v>
      </c>
      <c r="Y182" s="231" t="s">
        <v>571</v>
      </c>
      <c r="AA182" s="231">
        <f t="shared" si="259"/>
        <v>0</v>
      </c>
      <c r="AB182" s="231">
        <f t="shared" si="260"/>
        <v>0</v>
      </c>
      <c r="AC182" s="231">
        <f t="shared" si="261"/>
        <v>1</v>
      </c>
      <c r="AD182" s="231">
        <f t="shared" si="262"/>
        <v>1</v>
      </c>
      <c r="AE182" s="231">
        <f t="shared" si="263"/>
        <v>0</v>
      </c>
      <c r="AF182" s="231">
        <f t="shared" si="264"/>
        <v>1</v>
      </c>
      <c r="AG182" s="231">
        <f t="shared" si="265"/>
        <v>1</v>
      </c>
      <c r="AH182" s="231">
        <f t="shared" si="266"/>
        <v>0</v>
      </c>
      <c r="AI182" s="231">
        <f t="shared" si="267"/>
        <v>1</v>
      </c>
      <c r="AJ182" s="231">
        <f t="shared" si="268"/>
        <v>1</v>
      </c>
      <c r="AK182" s="231">
        <f t="shared" si="269"/>
        <v>0</v>
      </c>
      <c r="AL182" s="231">
        <f t="shared" si="270"/>
        <v>0</v>
      </c>
      <c r="AM182" s="231">
        <f t="shared" si="271"/>
        <v>6</v>
      </c>
    </row>
    <row r="183" spans="4:39" x14ac:dyDescent="0.25">
      <c r="D183" s="231">
        <v>25</v>
      </c>
      <c r="G183" s="231" t="s">
        <v>74</v>
      </c>
      <c r="H183" s="231" t="s">
        <v>69</v>
      </c>
      <c r="I183" s="231" t="s">
        <v>76</v>
      </c>
      <c r="L183" s="231" t="s">
        <v>78</v>
      </c>
      <c r="M183" s="231" t="s">
        <v>515</v>
      </c>
      <c r="N183" s="231" t="s">
        <v>516</v>
      </c>
      <c r="O183" s="232" t="s">
        <v>517</v>
      </c>
      <c r="P183" s="231" t="s">
        <v>70</v>
      </c>
      <c r="R183" s="231" t="s">
        <v>564</v>
      </c>
      <c r="S183" s="231" t="s">
        <v>565</v>
      </c>
      <c r="T183" s="231" t="s">
        <v>566</v>
      </c>
      <c r="U183" s="231" t="s">
        <v>573</v>
      </c>
      <c r="V183" s="231" t="s">
        <v>568</v>
      </c>
      <c r="W183" s="231" t="s">
        <v>572</v>
      </c>
      <c r="X183" s="231" t="s">
        <v>570</v>
      </c>
      <c r="Y183" s="231" t="s">
        <v>571</v>
      </c>
      <c r="AA183" s="231">
        <f t="shared" si="259"/>
        <v>0</v>
      </c>
      <c r="AB183" s="231">
        <f t="shared" si="260"/>
        <v>0</v>
      </c>
      <c r="AC183" s="231">
        <f t="shared" si="261"/>
        <v>1</v>
      </c>
      <c r="AD183" s="231">
        <f t="shared" si="262"/>
        <v>1</v>
      </c>
      <c r="AE183" s="231">
        <f t="shared" si="263"/>
        <v>1</v>
      </c>
      <c r="AF183" s="231">
        <f t="shared" si="264"/>
        <v>0</v>
      </c>
      <c r="AG183" s="231">
        <f t="shared" si="265"/>
        <v>0</v>
      </c>
      <c r="AH183" s="231">
        <f t="shared" si="266"/>
        <v>0</v>
      </c>
      <c r="AI183" s="231">
        <f t="shared" si="267"/>
        <v>1</v>
      </c>
      <c r="AJ183" s="231">
        <f t="shared" si="268"/>
        <v>1</v>
      </c>
      <c r="AK183" s="231">
        <f t="shared" si="269"/>
        <v>0</v>
      </c>
      <c r="AL183" s="231">
        <f t="shared" si="270"/>
        <v>1</v>
      </c>
      <c r="AM183" s="231">
        <f t="shared" si="271"/>
        <v>6</v>
      </c>
    </row>
    <row r="184" spans="4:39" x14ac:dyDescent="0.25">
      <c r="D184" s="231">
        <v>26</v>
      </c>
      <c r="G184" s="231" t="s">
        <v>74</v>
      </c>
      <c r="H184" s="231" t="s">
        <v>69</v>
      </c>
      <c r="I184" s="231" t="s">
        <v>76</v>
      </c>
      <c r="K184" s="231" t="s">
        <v>77</v>
      </c>
      <c r="M184" s="231" t="s">
        <v>515</v>
      </c>
      <c r="N184" s="231" t="s">
        <v>516</v>
      </c>
      <c r="O184" s="232" t="s">
        <v>517</v>
      </c>
      <c r="P184" s="231" t="s">
        <v>70</v>
      </c>
      <c r="R184" s="231" t="s">
        <v>564</v>
      </c>
      <c r="S184" s="231" t="s">
        <v>569</v>
      </c>
      <c r="T184" s="231" t="s">
        <v>566</v>
      </c>
      <c r="U184" s="231" t="s">
        <v>573</v>
      </c>
      <c r="V184" s="231" t="s">
        <v>565</v>
      </c>
      <c r="W184" s="231" t="s">
        <v>572</v>
      </c>
      <c r="X184" s="231" t="s">
        <v>570</v>
      </c>
      <c r="Y184" s="231" t="s">
        <v>571</v>
      </c>
      <c r="AA184" s="231">
        <f t="shared" si="259"/>
        <v>0</v>
      </c>
      <c r="AB184" s="231">
        <f t="shared" si="260"/>
        <v>0</v>
      </c>
      <c r="AC184" s="231">
        <f t="shared" si="261"/>
        <v>1</v>
      </c>
      <c r="AD184" s="231">
        <f t="shared" si="262"/>
        <v>1</v>
      </c>
      <c r="AE184" s="231">
        <f t="shared" si="263"/>
        <v>1</v>
      </c>
      <c r="AF184" s="231">
        <f t="shared" si="264"/>
        <v>0</v>
      </c>
      <c r="AG184" s="231">
        <f t="shared" si="265"/>
        <v>1</v>
      </c>
      <c r="AH184" s="231">
        <f t="shared" si="266"/>
        <v>0</v>
      </c>
      <c r="AI184" s="231">
        <f t="shared" si="267"/>
        <v>1</v>
      </c>
      <c r="AJ184" s="231">
        <f t="shared" si="268"/>
        <v>1</v>
      </c>
      <c r="AK184" s="231">
        <f t="shared" si="269"/>
        <v>0</v>
      </c>
      <c r="AL184" s="231">
        <f t="shared" si="270"/>
        <v>1</v>
      </c>
      <c r="AM184" s="231">
        <f t="shared" si="271"/>
        <v>7</v>
      </c>
    </row>
    <row r="185" spans="4:39" x14ac:dyDescent="0.25">
      <c r="D185" s="231">
        <v>27</v>
      </c>
      <c r="G185" s="231" t="s">
        <v>74</v>
      </c>
      <c r="H185" s="231" t="s">
        <v>69</v>
      </c>
      <c r="I185" s="231" t="s">
        <v>76</v>
      </c>
      <c r="K185" s="231" t="s">
        <v>77</v>
      </c>
      <c r="L185" s="231" t="s">
        <v>78</v>
      </c>
      <c r="N185" s="231" t="s">
        <v>516</v>
      </c>
      <c r="O185" s="232" t="s">
        <v>517</v>
      </c>
      <c r="P185" s="231" t="s">
        <v>70</v>
      </c>
      <c r="R185" s="231" t="s">
        <v>564</v>
      </c>
      <c r="S185" s="231" t="s">
        <v>569</v>
      </c>
      <c r="T185" s="231" t="s">
        <v>565</v>
      </c>
      <c r="U185" s="231" t="s">
        <v>573</v>
      </c>
      <c r="V185" s="231" t="s">
        <v>568</v>
      </c>
      <c r="W185" s="231" t="s">
        <v>572</v>
      </c>
      <c r="X185" s="231" t="s">
        <v>570</v>
      </c>
      <c r="Y185" s="231" t="s">
        <v>571</v>
      </c>
      <c r="AA185" s="231">
        <f t="shared" si="259"/>
        <v>0</v>
      </c>
      <c r="AB185" s="231">
        <f t="shared" si="260"/>
        <v>0</v>
      </c>
      <c r="AC185" s="231">
        <f t="shared" si="261"/>
        <v>1</v>
      </c>
      <c r="AD185" s="231">
        <f t="shared" si="262"/>
        <v>1</v>
      </c>
      <c r="AE185" s="231">
        <f t="shared" si="263"/>
        <v>1</v>
      </c>
      <c r="AF185" s="231">
        <f t="shared" si="264"/>
        <v>0</v>
      </c>
      <c r="AG185" s="231">
        <f t="shared" si="265"/>
        <v>1</v>
      </c>
      <c r="AH185" s="231">
        <f t="shared" si="266"/>
        <v>0</v>
      </c>
      <c r="AI185" s="231">
        <f t="shared" si="267"/>
        <v>0</v>
      </c>
      <c r="AJ185" s="231">
        <f t="shared" si="268"/>
        <v>1</v>
      </c>
      <c r="AK185" s="231">
        <f t="shared" si="269"/>
        <v>0</v>
      </c>
      <c r="AL185" s="231">
        <f t="shared" si="270"/>
        <v>1</v>
      </c>
      <c r="AM185" s="231">
        <f t="shared" si="271"/>
        <v>6</v>
      </c>
    </row>
    <row r="186" spans="4:39" x14ac:dyDescent="0.25">
      <c r="D186" s="231">
        <v>28</v>
      </c>
      <c r="G186" s="231" t="s">
        <v>74</v>
      </c>
      <c r="H186" s="231" t="s">
        <v>69</v>
      </c>
      <c r="I186" s="231" t="s">
        <v>76</v>
      </c>
      <c r="K186" s="231" t="s">
        <v>77</v>
      </c>
      <c r="L186" s="231" t="s">
        <v>78</v>
      </c>
      <c r="M186" s="231" t="s">
        <v>515</v>
      </c>
      <c r="O186" s="232" t="s">
        <v>517</v>
      </c>
      <c r="P186" s="231" t="s">
        <v>70</v>
      </c>
      <c r="R186" s="231" t="s">
        <v>564</v>
      </c>
      <c r="S186" s="231" t="s">
        <v>569</v>
      </c>
      <c r="T186" s="231" t="s">
        <v>566</v>
      </c>
      <c r="U186" s="231" t="s">
        <v>573</v>
      </c>
      <c r="V186" s="231" t="s">
        <v>568</v>
      </c>
      <c r="W186" s="231" t="s">
        <v>572</v>
      </c>
      <c r="X186" s="231" t="s">
        <v>570</v>
      </c>
      <c r="Y186" s="231" t="s">
        <v>571</v>
      </c>
      <c r="AA186" s="231">
        <f t="shared" si="259"/>
        <v>0</v>
      </c>
      <c r="AB186" s="231">
        <f t="shared" si="260"/>
        <v>0</v>
      </c>
      <c r="AC186" s="231">
        <f t="shared" si="261"/>
        <v>1</v>
      </c>
      <c r="AD186" s="231">
        <f t="shared" si="262"/>
        <v>1</v>
      </c>
      <c r="AE186" s="231">
        <f t="shared" si="263"/>
        <v>1</v>
      </c>
      <c r="AF186" s="231">
        <f t="shared" si="264"/>
        <v>0</v>
      </c>
      <c r="AG186" s="231">
        <f t="shared" si="265"/>
        <v>1</v>
      </c>
      <c r="AH186" s="231">
        <f t="shared" si="266"/>
        <v>0</v>
      </c>
      <c r="AI186" s="231">
        <f t="shared" si="267"/>
        <v>1</v>
      </c>
      <c r="AJ186" s="231">
        <f t="shared" si="268"/>
        <v>0</v>
      </c>
      <c r="AK186" s="231">
        <f t="shared" si="269"/>
        <v>0</v>
      </c>
      <c r="AL186" s="231">
        <f t="shared" si="270"/>
        <v>1</v>
      </c>
      <c r="AM186" s="231">
        <f t="shared" si="271"/>
        <v>6</v>
      </c>
    </row>
    <row r="187" spans="4:39" x14ac:dyDescent="0.25">
      <c r="D187" s="231">
        <v>29</v>
      </c>
      <c r="G187" s="231" t="s">
        <v>74</v>
      </c>
      <c r="H187" s="231" t="s">
        <v>69</v>
      </c>
      <c r="I187" s="231" t="s">
        <v>76</v>
      </c>
      <c r="K187" s="231" t="s">
        <v>77</v>
      </c>
      <c r="L187" s="231" t="s">
        <v>78</v>
      </c>
      <c r="M187" s="231" t="s">
        <v>515</v>
      </c>
      <c r="N187" s="231" t="s">
        <v>516</v>
      </c>
      <c r="P187" s="231" t="s">
        <v>70</v>
      </c>
      <c r="R187" s="231" t="s">
        <v>564</v>
      </c>
      <c r="S187" s="231" t="s">
        <v>569</v>
      </c>
      <c r="T187" s="231" t="s">
        <v>565</v>
      </c>
      <c r="U187" s="231" t="s">
        <v>573</v>
      </c>
      <c r="V187" s="231" t="s">
        <v>568</v>
      </c>
      <c r="W187" s="231" t="s">
        <v>572</v>
      </c>
      <c r="X187" s="231" t="s">
        <v>570</v>
      </c>
      <c r="Y187" s="231" t="s">
        <v>566</v>
      </c>
      <c r="AA187" s="231">
        <f t="shared" si="259"/>
        <v>0</v>
      </c>
      <c r="AB187" s="231">
        <f t="shared" si="260"/>
        <v>0</v>
      </c>
      <c r="AC187" s="231">
        <f t="shared" si="261"/>
        <v>1</v>
      </c>
      <c r="AD187" s="231">
        <f t="shared" si="262"/>
        <v>1</v>
      </c>
      <c r="AE187" s="231">
        <f t="shared" si="263"/>
        <v>1</v>
      </c>
      <c r="AF187" s="231">
        <f t="shared" si="264"/>
        <v>0</v>
      </c>
      <c r="AG187" s="231">
        <f t="shared" si="265"/>
        <v>1</v>
      </c>
      <c r="AH187" s="231">
        <f t="shared" si="266"/>
        <v>0</v>
      </c>
      <c r="AI187" s="231">
        <f t="shared" si="267"/>
        <v>1</v>
      </c>
      <c r="AJ187" s="231">
        <f t="shared" si="268"/>
        <v>1</v>
      </c>
      <c r="AK187" s="231">
        <f t="shared" si="269"/>
        <v>0</v>
      </c>
      <c r="AL187" s="231">
        <f t="shared" si="270"/>
        <v>1</v>
      </c>
      <c r="AM187" s="231">
        <f t="shared" si="271"/>
        <v>7</v>
      </c>
    </row>
    <row r="188" spans="4:39" x14ac:dyDescent="0.25">
      <c r="D188" s="231">
        <v>30</v>
      </c>
      <c r="G188" s="231" t="s">
        <v>74</v>
      </c>
      <c r="H188" s="231" t="s">
        <v>69</v>
      </c>
      <c r="I188" s="231" t="s">
        <v>76</v>
      </c>
      <c r="K188" s="231" t="s">
        <v>77</v>
      </c>
      <c r="L188" s="231" t="s">
        <v>78</v>
      </c>
      <c r="M188" s="231" t="s">
        <v>515</v>
      </c>
      <c r="N188" s="231" t="s">
        <v>516</v>
      </c>
      <c r="O188" s="232" t="s">
        <v>517</v>
      </c>
      <c r="R188" s="231" t="s">
        <v>564</v>
      </c>
      <c r="S188" s="231" t="s">
        <v>569</v>
      </c>
      <c r="T188" s="231" t="s">
        <v>565</v>
      </c>
      <c r="U188" s="231" t="s">
        <v>573</v>
      </c>
      <c r="V188" s="231" t="s">
        <v>568</v>
      </c>
      <c r="W188" s="231" t="s">
        <v>572</v>
      </c>
      <c r="X188" s="231" t="s">
        <v>566</v>
      </c>
      <c r="Y188" s="231" t="s">
        <v>571</v>
      </c>
      <c r="AA188" s="231">
        <f t="shared" si="259"/>
        <v>0</v>
      </c>
      <c r="AB188" s="231">
        <f t="shared" si="260"/>
        <v>0</v>
      </c>
      <c r="AC188" s="231">
        <f t="shared" si="261"/>
        <v>1</v>
      </c>
      <c r="AD188" s="231">
        <f t="shared" si="262"/>
        <v>1</v>
      </c>
      <c r="AE188" s="231">
        <f t="shared" si="263"/>
        <v>1</v>
      </c>
      <c r="AF188" s="231">
        <f t="shared" si="264"/>
        <v>0</v>
      </c>
      <c r="AG188" s="231">
        <f t="shared" si="265"/>
        <v>1</v>
      </c>
      <c r="AH188" s="231">
        <f t="shared" si="266"/>
        <v>0</v>
      </c>
      <c r="AI188" s="231">
        <f t="shared" si="267"/>
        <v>1</v>
      </c>
      <c r="AJ188" s="231">
        <f t="shared" si="268"/>
        <v>1</v>
      </c>
      <c r="AK188" s="231">
        <f t="shared" si="269"/>
        <v>0</v>
      </c>
      <c r="AL188" s="231">
        <f t="shared" si="270"/>
        <v>0</v>
      </c>
      <c r="AM188" s="231">
        <f t="shared" si="271"/>
        <v>6</v>
      </c>
    </row>
    <row r="189" spans="4:39" x14ac:dyDescent="0.25">
      <c r="D189" s="231">
        <v>31</v>
      </c>
      <c r="G189" s="231" t="s">
        <v>74</v>
      </c>
      <c r="H189" s="231" t="s">
        <v>69</v>
      </c>
      <c r="I189" s="231" t="s">
        <v>76</v>
      </c>
      <c r="J189" s="231" t="s">
        <v>75</v>
      </c>
      <c r="M189" s="231" t="s">
        <v>515</v>
      </c>
      <c r="N189" s="231" t="s">
        <v>516</v>
      </c>
      <c r="O189" s="232" t="s">
        <v>517</v>
      </c>
      <c r="P189" s="231" t="s">
        <v>70</v>
      </c>
      <c r="R189" s="231" t="s">
        <v>573</v>
      </c>
      <c r="S189" s="231" t="s">
        <v>565</v>
      </c>
      <c r="T189" s="231" t="s">
        <v>564</v>
      </c>
      <c r="U189" s="231" t="s">
        <v>572</v>
      </c>
      <c r="V189" s="231" t="s">
        <v>566</v>
      </c>
      <c r="W189" s="231" t="s">
        <v>567</v>
      </c>
      <c r="X189" s="231" t="s">
        <v>570</v>
      </c>
      <c r="Y189" s="231" t="s">
        <v>571</v>
      </c>
      <c r="AA189" s="231">
        <f t="shared" si="259"/>
        <v>0</v>
      </c>
      <c r="AB189" s="231">
        <f t="shared" si="260"/>
        <v>0</v>
      </c>
      <c r="AC189" s="231">
        <f t="shared" si="261"/>
        <v>1</v>
      </c>
      <c r="AD189" s="231">
        <f t="shared" si="262"/>
        <v>1</v>
      </c>
      <c r="AE189" s="231">
        <f t="shared" si="263"/>
        <v>1</v>
      </c>
      <c r="AF189" s="231">
        <f t="shared" si="264"/>
        <v>1</v>
      </c>
      <c r="AG189" s="231">
        <f t="shared" si="265"/>
        <v>0</v>
      </c>
      <c r="AH189" s="231">
        <f t="shared" si="266"/>
        <v>0</v>
      </c>
      <c r="AI189" s="231">
        <f t="shared" si="267"/>
        <v>1</v>
      </c>
      <c r="AJ189" s="231">
        <f t="shared" si="268"/>
        <v>1</v>
      </c>
      <c r="AK189" s="231">
        <f t="shared" si="269"/>
        <v>0</v>
      </c>
      <c r="AL189" s="231">
        <f t="shared" si="270"/>
        <v>1</v>
      </c>
      <c r="AM189" s="231">
        <f t="shared" si="271"/>
        <v>7</v>
      </c>
    </row>
    <row r="190" spans="4:39" x14ac:dyDescent="0.25">
      <c r="D190" s="231">
        <v>32</v>
      </c>
      <c r="G190" s="231" t="s">
        <v>74</v>
      </c>
      <c r="H190" s="231" t="s">
        <v>69</v>
      </c>
      <c r="I190" s="231" t="s">
        <v>76</v>
      </c>
      <c r="J190" s="231" t="s">
        <v>75</v>
      </c>
      <c r="L190" s="231" t="s">
        <v>78</v>
      </c>
      <c r="N190" s="231" t="s">
        <v>516</v>
      </c>
      <c r="O190" s="232" t="s">
        <v>517</v>
      </c>
      <c r="P190" s="231" t="s">
        <v>70</v>
      </c>
      <c r="R190" s="231" t="s">
        <v>573</v>
      </c>
      <c r="S190" s="231" t="s">
        <v>565</v>
      </c>
      <c r="T190" s="231" t="s">
        <v>564</v>
      </c>
      <c r="U190" s="231" t="s">
        <v>572</v>
      </c>
      <c r="V190" s="231" t="s">
        <v>568</v>
      </c>
      <c r="W190" s="231" t="s">
        <v>567</v>
      </c>
      <c r="X190" s="231" t="s">
        <v>570</v>
      </c>
      <c r="Y190" s="231" t="s">
        <v>571</v>
      </c>
      <c r="AA190" s="231">
        <f t="shared" si="259"/>
        <v>0</v>
      </c>
      <c r="AB190" s="231">
        <f t="shared" si="260"/>
        <v>0</v>
      </c>
      <c r="AC190" s="231">
        <f t="shared" si="261"/>
        <v>1</v>
      </c>
      <c r="AD190" s="231">
        <f t="shared" si="262"/>
        <v>1</v>
      </c>
      <c r="AE190" s="231">
        <f t="shared" si="263"/>
        <v>1</v>
      </c>
      <c r="AF190" s="231">
        <f t="shared" si="264"/>
        <v>1</v>
      </c>
      <c r="AG190" s="231">
        <f t="shared" si="265"/>
        <v>0</v>
      </c>
      <c r="AH190" s="231">
        <f t="shared" si="266"/>
        <v>0</v>
      </c>
      <c r="AI190" s="231">
        <f t="shared" si="267"/>
        <v>0</v>
      </c>
      <c r="AJ190" s="231">
        <f t="shared" si="268"/>
        <v>1</v>
      </c>
      <c r="AK190" s="231">
        <f t="shared" si="269"/>
        <v>0</v>
      </c>
      <c r="AL190" s="231">
        <f t="shared" si="270"/>
        <v>1</v>
      </c>
      <c r="AM190" s="231">
        <f t="shared" si="271"/>
        <v>6</v>
      </c>
    </row>
    <row r="191" spans="4:39" x14ac:dyDescent="0.25">
      <c r="D191" s="231">
        <v>33</v>
      </c>
      <c r="G191" s="231" t="s">
        <v>74</v>
      </c>
      <c r="H191" s="231" t="s">
        <v>69</v>
      </c>
      <c r="I191" s="231" t="s">
        <v>76</v>
      </c>
      <c r="J191" s="231" t="s">
        <v>75</v>
      </c>
      <c r="L191" s="231" t="s">
        <v>78</v>
      </c>
      <c r="M191" s="231" t="s">
        <v>515</v>
      </c>
      <c r="O191" s="232" t="s">
        <v>517</v>
      </c>
      <c r="P191" s="231" t="s">
        <v>70</v>
      </c>
      <c r="R191" s="231" t="s">
        <v>573</v>
      </c>
      <c r="S191" s="231" t="s">
        <v>564</v>
      </c>
      <c r="T191" s="231" t="s">
        <v>566</v>
      </c>
      <c r="U191" s="231" t="s">
        <v>572</v>
      </c>
      <c r="V191" s="231" t="s">
        <v>568</v>
      </c>
      <c r="W191" s="231" t="s">
        <v>567</v>
      </c>
      <c r="X191" s="231" t="s">
        <v>570</v>
      </c>
      <c r="Y191" s="231" t="s">
        <v>571</v>
      </c>
      <c r="AA191" s="231">
        <f t="shared" si="259"/>
        <v>0</v>
      </c>
      <c r="AB191" s="231">
        <f t="shared" si="260"/>
        <v>0</v>
      </c>
      <c r="AC191" s="231">
        <f t="shared" si="261"/>
        <v>1</v>
      </c>
      <c r="AD191" s="231">
        <f t="shared" si="262"/>
        <v>1</v>
      </c>
      <c r="AE191" s="231">
        <f t="shared" si="263"/>
        <v>1</v>
      </c>
      <c r="AF191" s="231">
        <f t="shared" si="264"/>
        <v>1</v>
      </c>
      <c r="AG191" s="231">
        <f t="shared" si="265"/>
        <v>0</v>
      </c>
      <c r="AH191" s="231">
        <f t="shared" si="266"/>
        <v>0</v>
      </c>
      <c r="AI191" s="231">
        <f t="shared" si="267"/>
        <v>1</v>
      </c>
      <c r="AJ191" s="231">
        <f t="shared" si="268"/>
        <v>0</v>
      </c>
      <c r="AK191" s="231">
        <f t="shared" si="269"/>
        <v>0</v>
      </c>
      <c r="AL191" s="231">
        <f t="shared" si="270"/>
        <v>1</v>
      </c>
      <c r="AM191" s="231">
        <f t="shared" si="271"/>
        <v>6</v>
      </c>
    </row>
    <row r="192" spans="4:39" x14ac:dyDescent="0.25">
      <c r="D192" s="231">
        <v>34</v>
      </c>
      <c r="G192" s="231" t="s">
        <v>74</v>
      </c>
      <c r="H192" s="231" t="s">
        <v>69</v>
      </c>
      <c r="I192" s="231" t="s">
        <v>76</v>
      </c>
      <c r="J192" s="231" t="s">
        <v>75</v>
      </c>
      <c r="L192" s="231" t="s">
        <v>78</v>
      </c>
      <c r="M192" s="231" t="s">
        <v>515</v>
      </c>
      <c r="N192" s="231" t="s">
        <v>516</v>
      </c>
      <c r="P192" s="231" t="s">
        <v>70</v>
      </c>
      <c r="R192" s="231" t="s">
        <v>573</v>
      </c>
      <c r="S192" s="231" t="s">
        <v>565</v>
      </c>
      <c r="T192" s="231" t="s">
        <v>564</v>
      </c>
      <c r="U192" s="231" t="s">
        <v>572</v>
      </c>
      <c r="V192" s="231" t="s">
        <v>568</v>
      </c>
      <c r="W192" s="231" t="s">
        <v>567</v>
      </c>
      <c r="X192" s="231" t="s">
        <v>570</v>
      </c>
      <c r="Y192" s="231" t="s">
        <v>566</v>
      </c>
      <c r="AA192" s="231">
        <f t="shared" si="259"/>
        <v>0</v>
      </c>
      <c r="AB192" s="231">
        <f t="shared" si="260"/>
        <v>0</v>
      </c>
      <c r="AC192" s="231">
        <f t="shared" si="261"/>
        <v>1</v>
      </c>
      <c r="AD192" s="231">
        <f t="shared" si="262"/>
        <v>1</v>
      </c>
      <c r="AE192" s="231">
        <f t="shared" si="263"/>
        <v>1</v>
      </c>
      <c r="AF192" s="231">
        <f t="shared" si="264"/>
        <v>1</v>
      </c>
      <c r="AG192" s="231">
        <f t="shared" si="265"/>
        <v>0</v>
      </c>
      <c r="AH192" s="231">
        <f t="shared" si="266"/>
        <v>0</v>
      </c>
      <c r="AI192" s="231">
        <f t="shared" si="267"/>
        <v>1</v>
      </c>
      <c r="AJ192" s="231">
        <f t="shared" si="268"/>
        <v>1</v>
      </c>
      <c r="AK192" s="231">
        <f t="shared" si="269"/>
        <v>0</v>
      </c>
      <c r="AL192" s="231">
        <f t="shared" si="270"/>
        <v>1</v>
      </c>
      <c r="AM192" s="231">
        <f t="shared" si="271"/>
        <v>7</v>
      </c>
    </row>
    <row r="193" spans="4:39" x14ac:dyDescent="0.25">
      <c r="D193" s="231">
        <v>35</v>
      </c>
      <c r="G193" s="231" t="s">
        <v>74</v>
      </c>
      <c r="H193" s="231" t="s">
        <v>69</v>
      </c>
      <c r="I193" s="231" t="s">
        <v>76</v>
      </c>
      <c r="J193" s="231" t="s">
        <v>75</v>
      </c>
      <c r="L193" s="231" t="s">
        <v>78</v>
      </c>
      <c r="M193" s="231" t="s">
        <v>515</v>
      </c>
      <c r="N193" s="231" t="s">
        <v>516</v>
      </c>
      <c r="O193" s="232" t="s">
        <v>517</v>
      </c>
      <c r="R193" s="231" t="s">
        <v>573</v>
      </c>
      <c r="S193" s="231" t="s">
        <v>565</v>
      </c>
      <c r="T193" s="231" t="s">
        <v>564</v>
      </c>
      <c r="U193" s="231" t="s">
        <v>572</v>
      </c>
      <c r="V193" s="231" t="s">
        <v>568</v>
      </c>
      <c r="W193" s="231" t="s">
        <v>567</v>
      </c>
      <c r="X193" s="231" t="s">
        <v>566</v>
      </c>
      <c r="Y193" s="231" t="s">
        <v>571</v>
      </c>
      <c r="AA193" s="231">
        <f t="shared" si="259"/>
        <v>0</v>
      </c>
      <c r="AB193" s="231">
        <f t="shared" si="260"/>
        <v>0</v>
      </c>
      <c r="AC193" s="231">
        <f t="shared" si="261"/>
        <v>1</v>
      </c>
      <c r="AD193" s="231">
        <f t="shared" si="262"/>
        <v>1</v>
      </c>
      <c r="AE193" s="231">
        <f t="shared" si="263"/>
        <v>1</v>
      </c>
      <c r="AF193" s="231">
        <f t="shared" si="264"/>
        <v>1</v>
      </c>
      <c r="AG193" s="231">
        <f t="shared" si="265"/>
        <v>0</v>
      </c>
      <c r="AH193" s="231">
        <f t="shared" si="266"/>
        <v>0</v>
      </c>
      <c r="AI193" s="231">
        <f t="shared" si="267"/>
        <v>1</v>
      </c>
      <c r="AJ193" s="231">
        <f t="shared" si="268"/>
        <v>1</v>
      </c>
      <c r="AK193" s="231">
        <f t="shared" si="269"/>
        <v>0</v>
      </c>
      <c r="AL193" s="231">
        <f t="shared" si="270"/>
        <v>0</v>
      </c>
      <c r="AM193" s="231">
        <f t="shared" si="271"/>
        <v>6</v>
      </c>
    </row>
    <row r="194" spans="4:39" x14ac:dyDescent="0.25">
      <c r="D194" s="231">
        <v>36</v>
      </c>
      <c r="G194" s="231" t="s">
        <v>74</v>
      </c>
      <c r="H194" s="231" t="s">
        <v>69</v>
      </c>
      <c r="I194" s="231" t="s">
        <v>76</v>
      </c>
      <c r="J194" s="231" t="s">
        <v>75</v>
      </c>
      <c r="K194" s="231" t="s">
        <v>77</v>
      </c>
      <c r="N194" s="231" t="s">
        <v>516</v>
      </c>
      <c r="O194" s="232" t="s">
        <v>517</v>
      </c>
      <c r="P194" s="231" t="s">
        <v>70</v>
      </c>
      <c r="R194" s="231" t="s">
        <v>573</v>
      </c>
      <c r="S194" s="231" t="s">
        <v>569</v>
      </c>
      <c r="T194" s="231" t="s">
        <v>564</v>
      </c>
      <c r="U194" s="231" t="s">
        <v>572</v>
      </c>
      <c r="V194" s="231" t="s">
        <v>565</v>
      </c>
      <c r="W194" s="231" t="s">
        <v>567</v>
      </c>
      <c r="X194" s="231" t="s">
        <v>570</v>
      </c>
      <c r="Y194" s="231" t="s">
        <v>571</v>
      </c>
      <c r="AA194" s="231">
        <f t="shared" si="259"/>
        <v>0</v>
      </c>
      <c r="AB194" s="231">
        <f t="shared" si="260"/>
        <v>0</v>
      </c>
      <c r="AC194" s="231">
        <f t="shared" si="261"/>
        <v>1</v>
      </c>
      <c r="AD194" s="231">
        <f t="shared" si="262"/>
        <v>1</v>
      </c>
      <c r="AE194" s="231">
        <f t="shared" si="263"/>
        <v>1</v>
      </c>
      <c r="AF194" s="231">
        <f t="shared" si="264"/>
        <v>1</v>
      </c>
      <c r="AG194" s="231">
        <f t="shared" si="265"/>
        <v>1</v>
      </c>
      <c r="AH194" s="231">
        <f t="shared" si="266"/>
        <v>0</v>
      </c>
      <c r="AI194" s="231">
        <f t="shared" si="267"/>
        <v>0</v>
      </c>
      <c r="AJ194" s="231">
        <f t="shared" si="268"/>
        <v>1</v>
      </c>
      <c r="AK194" s="231">
        <f t="shared" si="269"/>
        <v>0</v>
      </c>
      <c r="AL194" s="231">
        <f t="shared" si="270"/>
        <v>1</v>
      </c>
      <c r="AM194" s="231">
        <f t="shared" si="271"/>
        <v>7</v>
      </c>
    </row>
    <row r="195" spans="4:39" x14ac:dyDescent="0.25">
      <c r="D195" s="231">
        <v>37</v>
      </c>
      <c r="G195" s="231" t="s">
        <v>74</v>
      </c>
      <c r="H195" s="231" t="s">
        <v>69</v>
      </c>
      <c r="I195" s="231" t="s">
        <v>76</v>
      </c>
      <c r="J195" s="231" t="s">
        <v>75</v>
      </c>
      <c r="K195" s="231" t="s">
        <v>77</v>
      </c>
      <c r="M195" s="231" t="s">
        <v>515</v>
      </c>
      <c r="O195" s="232" t="s">
        <v>517</v>
      </c>
      <c r="P195" s="231" t="s">
        <v>70</v>
      </c>
      <c r="R195" s="231" t="s">
        <v>573</v>
      </c>
      <c r="S195" s="231" t="s">
        <v>569</v>
      </c>
      <c r="T195" s="231" t="s">
        <v>564</v>
      </c>
      <c r="U195" s="231" t="s">
        <v>572</v>
      </c>
      <c r="V195" s="231" t="s">
        <v>566</v>
      </c>
      <c r="W195" s="231" t="s">
        <v>567</v>
      </c>
      <c r="X195" s="231" t="s">
        <v>570</v>
      </c>
      <c r="Y195" s="231" t="s">
        <v>571</v>
      </c>
      <c r="AA195" s="231">
        <f t="shared" si="259"/>
        <v>0</v>
      </c>
      <c r="AB195" s="231">
        <f t="shared" si="260"/>
        <v>0</v>
      </c>
      <c r="AC195" s="231">
        <f t="shared" si="261"/>
        <v>1</v>
      </c>
      <c r="AD195" s="231">
        <f t="shared" si="262"/>
        <v>1</v>
      </c>
      <c r="AE195" s="231">
        <f t="shared" si="263"/>
        <v>1</v>
      </c>
      <c r="AF195" s="231">
        <f t="shared" si="264"/>
        <v>1</v>
      </c>
      <c r="AG195" s="231">
        <f t="shared" si="265"/>
        <v>1</v>
      </c>
      <c r="AH195" s="231">
        <f t="shared" si="266"/>
        <v>0</v>
      </c>
      <c r="AI195" s="231">
        <f t="shared" si="267"/>
        <v>1</v>
      </c>
      <c r="AJ195" s="231">
        <f t="shared" si="268"/>
        <v>0</v>
      </c>
      <c r="AK195" s="231">
        <f t="shared" si="269"/>
        <v>0</v>
      </c>
      <c r="AL195" s="231">
        <f t="shared" si="270"/>
        <v>1</v>
      </c>
      <c r="AM195" s="231">
        <f t="shared" si="271"/>
        <v>7</v>
      </c>
    </row>
    <row r="196" spans="4:39" x14ac:dyDescent="0.25">
      <c r="D196" s="231">
        <v>38</v>
      </c>
      <c r="G196" s="231" t="s">
        <v>74</v>
      </c>
      <c r="H196" s="231" t="s">
        <v>69</v>
      </c>
      <c r="I196" s="231" t="s">
        <v>76</v>
      </c>
      <c r="J196" s="231" t="s">
        <v>75</v>
      </c>
      <c r="K196" s="231" t="s">
        <v>77</v>
      </c>
      <c r="M196" s="231" t="s">
        <v>515</v>
      </c>
      <c r="N196" s="231" t="s">
        <v>516</v>
      </c>
      <c r="P196" s="231" t="s">
        <v>70</v>
      </c>
      <c r="R196" s="231" t="s">
        <v>573</v>
      </c>
      <c r="S196" s="231" t="s">
        <v>569</v>
      </c>
      <c r="T196" s="231" t="s">
        <v>564</v>
      </c>
      <c r="U196" s="231" t="s">
        <v>572</v>
      </c>
      <c r="V196" s="231" t="s">
        <v>565</v>
      </c>
      <c r="W196" s="231" t="s">
        <v>567</v>
      </c>
      <c r="X196" s="231" t="s">
        <v>570</v>
      </c>
      <c r="Y196" s="231" t="s">
        <v>566</v>
      </c>
      <c r="AA196" s="231">
        <f t="shared" si="259"/>
        <v>0</v>
      </c>
      <c r="AB196" s="231">
        <f t="shared" si="260"/>
        <v>0</v>
      </c>
      <c r="AC196" s="231">
        <f t="shared" si="261"/>
        <v>1</v>
      </c>
      <c r="AD196" s="231">
        <f t="shared" si="262"/>
        <v>1</v>
      </c>
      <c r="AE196" s="231">
        <f t="shared" si="263"/>
        <v>1</v>
      </c>
      <c r="AF196" s="231">
        <f t="shared" si="264"/>
        <v>1</v>
      </c>
      <c r="AG196" s="231">
        <f t="shared" si="265"/>
        <v>1</v>
      </c>
      <c r="AH196" s="231">
        <f t="shared" si="266"/>
        <v>0</v>
      </c>
      <c r="AI196" s="231">
        <f t="shared" si="267"/>
        <v>1</v>
      </c>
      <c r="AJ196" s="231">
        <f t="shared" si="268"/>
        <v>1</v>
      </c>
      <c r="AK196" s="231">
        <f t="shared" si="269"/>
        <v>0</v>
      </c>
      <c r="AL196" s="231">
        <f t="shared" si="270"/>
        <v>1</v>
      </c>
      <c r="AM196" s="231">
        <f t="shared" si="271"/>
        <v>8</v>
      </c>
    </row>
    <row r="197" spans="4:39" x14ac:dyDescent="0.25">
      <c r="D197" s="231">
        <v>39</v>
      </c>
      <c r="G197" s="231" t="s">
        <v>74</v>
      </c>
      <c r="H197" s="231" t="s">
        <v>69</v>
      </c>
      <c r="I197" s="231" t="s">
        <v>76</v>
      </c>
      <c r="J197" s="231" t="s">
        <v>75</v>
      </c>
      <c r="K197" s="231" t="s">
        <v>77</v>
      </c>
      <c r="M197" s="231" t="s">
        <v>515</v>
      </c>
      <c r="N197" s="231" t="s">
        <v>516</v>
      </c>
      <c r="O197" s="232" t="s">
        <v>517</v>
      </c>
      <c r="R197" s="231" t="s">
        <v>573</v>
      </c>
      <c r="S197" s="231" t="s">
        <v>569</v>
      </c>
      <c r="T197" s="231" t="s">
        <v>564</v>
      </c>
      <c r="U197" s="231" t="s">
        <v>572</v>
      </c>
      <c r="V197" s="231" t="s">
        <v>565</v>
      </c>
      <c r="W197" s="231" t="s">
        <v>567</v>
      </c>
      <c r="X197" s="231" t="s">
        <v>566</v>
      </c>
      <c r="Y197" s="231" t="s">
        <v>571</v>
      </c>
      <c r="AA197" s="231">
        <f t="shared" si="259"/>
        <v>0</v>
      </c>
      <c r="AB197" s="231">
        <f t="shared" si="260"/>
        <v>0</v>
      </c>
      <c r="AC197" s="231">
        <f t="shared" si="261"/>
        <v>1</v>
      </c>
      <c r="AD197" s="231">
        <f t="shared" si="262"/>
        <v>1</v>
      </c>
      <c r="AE197" s="231">
        <f t="shared" si="263"/>
        <v>1</v>
      </c>
      <c r="AF197" s="231">
        <f t="shared" si="264"/>
        <v>1</v>
      </c>
      <c r="AG197" s="231">
        <f t="shared" si="265"/>
        <v>1</v>
      </c>
      <c r="AH197" s="231">
        <f t="shared" si="266"/>
        <v>0</v>
      </c>
      <c r="AI197" s="231">
        <f t="shared" si="267"/>
        <v>1</v>
      </c>
      <c r="AJ197" s="231">
        <f t="shared" si="268"/>
        <v>1</v>
      </c>
      <c r="AK197" s="231">
        <f t="shared" si="269"/>
        <v>0</v>
      </c>
      <c r="AL197" s="231">
        <f t="shared" si="270"/>
        <v>0</v>
      </c>
      <c r="AM197" s="231">
        <f t="shared" si="271"/>
        <v>7</v>
      </c>
    </row>
    <row r="198" spans="4:39" x14ac:dyDescent="0.25">
      <c r="D198" s="231">
        <v>40</v>
      </c>
      <c r="G198" s="231" t="s">
        <v>74</v>
      </c>
      <c r="H198" s="231" t="s">
        <v>69</v>
      </c>
      <c r="I198" s="231" t="s">
        <v>76</v>
      </c>
      <c r="J198" s="231" t="s">
        <v>75</v>
      </c>
      <c r="K198" s="231" t="s">
        <v>77</v>
      </c>
      <c r="L198" s="231" t="s">
        <v>78</v>
      </c>
      <c r="O198" s="232" t="s">
        <v>517</v>
      </c>
      <c r="P198" s="231" t="s">
        <v>70</v>
      </c>
      <c r="R198" s="231" t="s">
        <v>573</v>
      </c>
      <c r="S198" s="231" t="s">
        <v>569</v>
      </c>
      <c r="T198" s="231" t="s">
        <v>564</v>
      </c>
      <c r="U198" s="231" t="s">
        <v>572</v>
      </c>
      <c r="V198" s="231" t="s">
        <v>568</v>
      </c>
      <c r="W198" s="231" t="s">
        <v>567</v>
      </c>
      <c r="X198" s="231" t="s">
        <v>570</v>
      </c>
      <c r="Y198" s="231" t="s">
        <v>571</v>
      </c>
      <c r="AA198" s="231">
        <f t="shared" si="259"/>
        <v>0</v>
      </c>
      <c r="AB198" s="231">
        <f t="shared" si="260"/>
        <v>0</v>
      </c>
      <c r="AC198" s="231">
        <f t="shared" si="261"/>
        <v>1</v>
      </c>
      <c r="AD198" s="231">
        <f t="shared" si="262"/>
        <v>1</v>
      </c>
      <c r="AE198" s="231">
        <f t="shared" si="263"/>
        <v>1</v>
      </c>
      <c r="AF198" s="231">
        <f t="shared" si="264"/>
        <v>1</v>
      </c>
      <c r="AG198" s="231">
        <f t="shared" si="265"/>
        <v>1</v>
      </c>
      <c r="AH198" s="231">
        <f t="shared" si="266"/>
        <v>0</v>
      </c>
      <c r="AI198" s="231">
        <f t="shared" si="267"/>
        <v>0</v>
      </c>
      <c r="AJ198" s="231">
        <f t="shared" si="268"/>
        <v>0</v>
      </c>
      <c r="AK198" s="231">
        <f t="shared" si="269"/>
        <v>0</v>
      </c>
      <c r="AL198" s="231">
        <f t="shared" si="270"/>
        <v>1</v>
      </c>
      <c r="AM198" s="231">
        <f t="shared" si="271"/>
        <v>6</v>
      </c>
    </row>
    <row r="199" spans="4:39" x14ac:dyDescent="0.25">
      <c r="D199" s="231">
        <v>41</v>
      </c>
      <c r="G199" s="231" t="s">
        <v>74</v>
      </c>
      <c r="H199" s="231" t="s">
        <v>69</v>
      </c>
      <c r="I199" s="231" t="s">
        <v>76</v>
      </c>
      <c r="J199" s="231" t="s">
        <v>75</v>
      </c>
      <c r="K199" s="231" t="s">
        <v>77</v>
      </c>
      <c r="L199" s="231" t="s">
        <v>78</v>
      </c>
      <c r="N199" s="231" t="s">
        <v>516</v>
      </c>
      <c r="P199" s="231" t="s">
        <v>70</v>
      </c>
      <c r="R199" s="231" t="s">
        <v>573</v>
      </c>
      <c r="S199" s="231" t="s">
        <v>569</v>
      </c>
      <c r="T199" s="231" t="s">
        <v>565</v>
      </c>
      <c r="U199" s="231" t="s">
        <v>572</v>
      </c>
      <c r="V199" s="231" t="s">
        <v>568</v>
      </c>
      <c r="W199" s="231" t="s">
        <v>567</v>
      </c>
      <c r="X199" s="231" t="s">
        <v>570</v>
      </c>
      <c r="Y199" s="231" t="s">
        <v>564</v>
      </c>
      <c r="AA199" s="231">
        <f t="shared" si="259"/>
        <v>0</v>
      </c>
      <c r="AB199" s="231">
        <f t="shared" si="260"/>
        <v>0</v>
      </c>
      <c r="AC199" s="231">
        <f t="shared" si="261"/>
        <v>1</v>
      </c>
      <c r="AD199" s="231">
        <f t="shared" si="262"/>
        <v>1</v>
      </c>
      <c r="AE199" s="231">
        <f t="shared" si="263"/>
        <v>1</v>
      </c>
      <c r="AF199" s="231">
        <f t="shared" si="264"/>
        <v>1</v>
      </c>
      <c r="AG199" s="231">
        <f t="shared" si="265"/>
        <v>1</v>
      </c>
      <c r="AH199" s="231">
        <f t="shared" si="266"/>
        <v>0</v>
      </c>
      <c r="AI199" s="231">
        <f t="shared" si="267"/>
        <v>0</v>
      </c>
      <c r="AJ199" s="231">
        <f t="shared" si="268"/>
        <v>1</v>
      </c>
      <c r="AK199" s="231">
        <f t="shared" si="269"/>
        <v>0</v>
      </c>
      <c r="AL199" s="231">
        <f t="shared" si="270"/>
        <v>1</v>
      </c>
      <c r="AM199" s="231">
        <f t="shared" si="271"/>
        <v>7</v>
      </c>
    </row>
    <row r="200" spans="4:39" x14ac:dyDescent="0.25">
      <c r="D200" s="231">
        <v>42</v>
      </c>
      <c r="G200" s="231" t="s">
        <v>74</v>
      </c>
      <c r="H200" s="231" t="s">
        <v>69</v>
      </c>
      <c r="I200" s="231" t="s">
        <v>76</v>
      </c>
      <c r="J200" s="231" t="s">
        <v>75</v>
      </c>
      <c r="K200" s="231" t="s">
        <v>77</v>
      </c>
      <c r="L200" s="231" t="s">
        <v>78</v>
      </c>
      <c r="N200" s="231" t="s">
        <v>516</v>
      </c>
      <c r="O200" s="232" t="s">
        <v>517</v>
      </c>
      <c r="R200" s="231" t="s">
        <v>573</v>
      </c>
      <c r="S200" s="231" t="s">
        <v>569</v>
      </c>
      <c r="T200" s="231" t="s">
        <v>565</v>
      </c>
      <c r="U200" s="231" t="s">
        <v>572</v>
      </c>
      <c r="V200" s="231" t="s">
        <v>568</v>
      </c>
      <c r="W200" s="231" t="s">
        <v>567</v>
      </c>
      <c r="X200" s="231" t="s">
        <v>564</v>
      </c>
      <c r="Y200" s="231" t="s">
        <v>571</v>
      </c>
      <c r="AA200" s="231">
        <f t="shared" si="259"/>
        <v>0</v>
      </c>
      <c r="AB200" s="231">
        <f t="shared" si="260"/>
        <v>0</v>
      </c>
      <c r="AC200" s="231">
        <f t="shared" si="261"/>
        <v>1</v>
      </c>
      <c r="AD200" s="231">
        <f t="shared" si="262"/>
        <v>1</v>
      </c>
      <c r="AE200" s="231">
        <f t="shared" si="263"/>
        <v>1</v>
      </c>
      <c r="AF200" s="231">
        <f t="shared" si="264"/>
        <v>1</v>
      </c>
      <c r="AG200" s="231">
        <f t="shared" si="265"/>
        <v>1</v>
      </c>
      <c r="AH200" s="231">
        <f t="shared" si="266"/>
        <v>0</v>
      </c>
      <c r="AI200" s="231">
        <f t="shared" si="267"/>
        <v>0</v>
      </c>
      <c r="AJ200" s="231">
        <f t="shared" si="268"/>
        <v>1</v>
      </c>
      <c r="AK200" s="231">
        <f t="shared" si="269"/>
        <v>0</v>
      </c>
      <c r="AL200" s="231">
        <f t="shared" si="270"/>
        <v>0</v>
      </c>
      <c r="AM200" s="231">
        <f t="shared" si="271"/>
        <v>6</v>
      </c>
    </row>
    <row r="201" spans="4:39" x14ac:dyDescent="0.25">
      <c r="D201" s="231">
        <v>43</v>
      </c>
      <c r="G201" s="231" t="s">
        <v>74</v>
      </c>
      <c r="H201" s="231" t="s">
        <v>69</v>
      </c>
      <c r="I201" s="231" t="s">
        <v>76</v>
      </c>
      <c r="J201" s="231" t="s">
        <v>75</v>
      </c>
      <c r="K201" s="231" t="s">
        <v>77</v>
      </c>
      <c r="L201" s="231" t="s">
        <v>78</v>
      </c>
      <c r="M201" s="231" t="s">
        <v>515</v>
      </c>
      <c r="P201" s="231" t="s">
        <v>70</v>
      </c>
      <c r="R201" s="231" t="s">
        <v>573</v>
      </c>
      <c r="S201" s="231" t="s">
        <v>569</v>
      </c>
      <c r="T201" s="231" t="s">
        <v>564</v>
      </c>
      <c r="U201" s="231" t="s">
        <v>572</v>
      </c>
      <c r="V201" s="231" t="s">
        <v>568</v>
      </c>
      <c r="W201" s="231" t="s">
        <v>567</v>
      </c>
      <c r="X201" s="231" t="s">
        <v>570</v>
      </c>
      <c r="Y201" s="231" t="s">
        <v>566</v>
      </c>
      <c r="AA201" s="231">
        <f t="shared" si="259"/>
        <v>0</v>
      </c>
      <c r="AB201" s="231">
        <f t="shared" si="260"/>
        <v>0</v>
      </c>
      <c r="AC201" s="231">
        <f t="shared" si="261"/>
        <v>1</v>
      </c>
      <c r="AD201" s="231">
        <f t="shared" si="262"/>
        <v>1</v>
      </c>
      <c r="AE201" s="231">
        <f t="shared" si="263"/>
        <v>1</v>
      </c>
      <c r="AF201" s="231">
        <f t="shared" si="264"/>
        <v>1</v>
      </c>
      <c r="AG201" s="231">
        <f t="shared" si="265"/>
        <v>1</v>
      </c>
      <c r="AH201" s="231">
        <f t="shared" si="266"/>
        <v>0</v>
      </c>
      <c r="AI201" s="231">
        <f t="shared" si="267"/>
        <v>1</v>
      </c>
      <c r="AJ201" s="231">
        <f t="shared" si="268"/>
        <v>0</v>
      </c>
      <c r="AK201" s="231">
        <f t="shared" si="269"/>
        <v>0</v>
      </c>
      <c r="AL201" s="231">
        <f t="shared" si="270"/>
        <v>1</v>
      </c>
      <c r="AM201" s="231">
        <f t="shared" si="271"/>
        <v>7</v>
      </c>
    </row>
    <row r="202" spans="4:39" x14ac:dyDescent="0.25">
      <c r="D202" s="231">
        <v>44</v>
      </c>
      <c r="G202" s="231" t="s">
        <v>74</v>
      </c>
      <c r="H202" s="231" t="s">
        <v>69</v>
      </c>
      <c r="I202" s="231" t="s">
        <v>76</v>
      </c>
      <c r="J202" s="231" t="s">
        <v>75</v>
      </c>
      <c r="K202" s="231" t="s">
        <v>77</v>
      </c>
      <c r="L202" s="231" t="s">
        <v>78</v>
      </c>
      <c r="M202" s="231" t="s">
        <v>515</v>
      </c>
      <c r="O202" s="232" t="s">
        <v>517</v>
      </c>
      <c r="R202" s="231" t="s">
        <v>573</v>
      </c>
      <c r="S202" s="231" t="s">
        <v>569</v>
      </c>
      <c r="T202" s="231" t="s">
        <v>564</v>
      </c>
      <c r="U202" s="231" t="s">
        <v>572</v>
      </c>
      <c r="V202" s="231" t="s">
        <v>568</v>
      </c>
      <c r="W202" s="231" t="s">
        <v>567</v>
      </c>
      <c r="X202" s="231" t="s">
        <v>566</v>
      </c>
      <c r="Y202" s="231" t="s">
        <v>571</v>
      </c>
      <c r="AA202" s="231">
        <f t="shared" si="259"/>
        <v>0</v>
      </c>
      <c r="AB202" s="231">
        <f t="shared" si="260"/>
        <v>0</v>
      </c>
      <c r="AC202" s="231">
        <f t="shared" si="261"/>
        <v>1</v>
      </c>
      <c r="AD202" s="231">
        <f t="shared" si="262"/>
        <v>1</v>
      </c>
      <c r="AE202" s="231">
        <f t="shared" si="263"/>
        <v>1</v>
      </c>
      <c r="AF202" s="231">
        <f t="shared" si="264"/>
        <v>1</v>
      </c>
      <c r="AG202" s="231">
        <f t="shared" si="265"/>
        <v>1</v>
      </c>
      <c r="AH202" s="231">
        <f t="shared" si="266"/>
        <v>0</v>
      </c>
      <c r="AI202" s="231">
        <f t="shared" si="267"/>
        <v>1</v>
      </c>
      <c r="AJ202" s="231">
        <f t="shared" si="268"/>
        <v>0</v>
      </c>
      <c r="AK202" s="231">
        <f t="shared" si="269"/>
        <v>0</v>
      </c>
      <c r="AL202" s="231">
        <f t="shared" si="270"/>
        <v>0</v>
      </c>
      <c r="AM202" s="231">
        <f t="shared" si="271"/>
        <v>6</v>
      </c>
    </row>
    <row r="203" spans="4:39" x14ac:dyDescent="0.25">
      <c r="D203" s="231">
        <v>45</v>
      </c>
      <c r="G203" s="231" t="s">
        <v>74</v>
      </c>
      <c r="H203" s="231" t="s">
        <v>69</v>
      </c>
      <c r="I203" s="231" t="s">
        <v>76</v>
      </c>
      <c r="J203" s="231" t="s">
        <v>75</v>
      </c>
      <c r="K203" s="231" t="s">
        <v>77</v>
      </c>
      <c r="L203" s="231" t="s">
        <v>78</v>
      </c>
      <c r="M203" s="231" t="s">
        <v>515</v>
      </c>
      <c r="N203" s="231" t="s">
        <v>516</v>
      </c>
      <c r="R203" s="231" t="s">
        <v>573</v>
      </c>
      <c r="S203" s="231" t="s">
        <v>569</v>
      </c>
      <c r="T203" s="231" t="s">
        <v>565</v>
      </c>
      <c r="U203" s="231" t="s">
        <v>572</v>
      </c>
      <c r="V203" s="231" t="s">
        <v>568</v>
      </c>
      <c r="W203" s="231" t="s">
        <v>567</v>
      </c>
      <c r="X203" s="231" t="s">
        <v>564</v>
      </c>
      <c r="Y203" s="231" t="s">
        <v>566</v>
      </c>
      <c r="AA203" s="231">
        <f t="shared" si="259"/>
        <v>0</v>
      </c>
      <c r="AB203" s="231">
        <f t="shared" si="260"/>
        <v>0</v>
      </c>
      <c r="AC203" s="231">
        <f t="shared" si="261"/>
        <v>1</v>
      </c>
      <c r="AD203" s="231">
        <f t="shared" si="262"/>
        <v>1</v>
      </c>
      <c r="AE203" s="231">
        <f t="shared" si="263"/>
        <v>1</v>
      </c>
      <c r="AF203" s="231">
        <f t="shared" si="264"/>
        <v>1</v>
      </c>
      <c r="AG203" s="231">
        <f t="shared" si="265"/>
        <v>1</v>
      </c>
      <c r="AH203" s="231">
        <f t="shared" si="266"/>
        <v>0</v>
      </c>
      <c r="AI203" s="231">
        <f t="shared" si="267"/>
        <v>1</v>
      </c>
      <c r="AJ203" s="231">
        <f t="shared" si="268"/>
        <v>1</v>
      </c>
      <c r="AK203" s="231">
        <f t="shared" si="269"/>
        <v>0</v>
      </c>
      <c r="AL203" s="231">
        <f t="shared" si="270"/>
        <v>0</v>
      </c>
      <c r="AM203" s="231">
        <f t="shared" si="271"/>
        <v>7</v>
      </c>
    </row>
    <row r="204" spans="4:39" x14ac:dyDescent="0.25">
      <c r="D204" s="231">
        <v>46</v>
      </c>
      <c r="F204" s="231" t="s">
        <v>73</v>
      </c>
      <c r="J204" s="231" t="s">
        <v>75</v>
      </c>
      <c r="K204" s="231" t="s">
        <v>77</v>
      </c>
      <c r="L204" s="231" t="s">
        <v>78</v>
      </c>
      <c r="M204" s="231" t="s">
        <v>515</v>
      </c>
      <c r="N204" s="231" t="s">
        <v>516</v>
      </c>
      <c r="O204" s="232" t="s">
        <v>517</v>
      </c>
      <c r="P204" s="231" t="s">
        <v>70</v>
      </c>
      <c r="R204" s="231" t="s">
        <v>568</v>
      </c>
      <c r="S204" s="231" t="s">
        <v>565</v>
      </c>
      <c r="T204" s="231" t="s">
        <v>574</v>
      </c>
      <c r="U204" s="231" t="s">
        <v>567</v>
      </c>
      <c r="V204" s="231" t="s">
        <v>566</v>
      </c>
      <c r="W204" s="231" t="s">
        <v>569</v>
      </c>
      <c r="X204" s="231" t="s">
        <v>570</v>
      </c>
      <c r="Y204" s="231" t="s">
        <v>571</v>
      </c>
      <c r="AA204" s="231">
        <f t="shared" si="259"/>
        <v>0</v>
      </c>
      <c r="AB204" s="231">
        <f t="shared" si="260"/>
        <v>0</v>
      </c>
      <c r="AC204" s="231">
        <f t="shared" si="261"/>
        <v>0</v>
      </c>
      <c r="AD204" s="231">
        <f t="shared" si="262"/>
        <v>0</v>
      </c>
      <c r="AE204" s="231">
        <f t="shared" si="263"/>
        <v>0</v>
      </c>
      <c r="AF204" s="231">
        <f t="shared" si="264"/>
        <v>1</v>
      </c>
      <c r="AG204" s="231">
        <f t="shared" si="265"/>
        <v>1</v>
      </c>
      <c r="AH204" s="231">
        <f t="shared" si="266"/>
        <v>0</v>
      </c>
      <c r="AI204" s="231">
        <f t="shared" si="267"/>
        <v>1</v>
      </c>
      <c r="AJ204" s="231">
        <f t="shared" si="268"/>
        <v>1</v>
      </c>
      <c r="AK204" s="231">
        <f t="shared" si="269"/>
        <v>0</v>
      </c>
      <c r="AL204" s="231">
        <f t="shared" si="270"/>
        <v>1</v>
      </c>
      <c r="AM204" s="231">
        <f t="shared" si="271"/>
        <v>5</v>
      </c>
    </row>
    <row r="205" spans="4:39" x14ac:dyDescent="0.25">
      <c r="D205" s="231">
        <v>47</v>
      </c>
      <c r="F205" s="231" t="s">
        <v>73</v>
      </c>
      <c r="I205" s="231" t="s">
        <v>76</v>
      </c>
      <c r="K205" s="231" t="s">
        <v>77</v>
      </c>
      <c r="L205" s="231" t="s">
        <v>78</v>
      </c>
      <c r="M205" s="231" t="s">
        <v>515</v>
      </c>
      <c r="N205" s="231" t="s">
        <v>516</v>
      </c>
      <c r="O205" s="232" t="s">
        <v>517</v>
      </c>
      <c r="P205" s="231" t="s">
        <v>70</v>
      </c>
      <c r="R205" s="231" t="s">
        <v>564</v>
      </c>
      <c r="S205" s="231" t="s">
        <v>565</v>
      </c>
      <c r="T205" s="231" t="s">
        <v>566</v>
      </c>
      <c r="U205" s="231" t="s">
        <v>574</v>
      </c>
      <c r="V205" s="231" t="s">
        <v>568</v>
      </c>
      <c r="W205" s="231" t="s">
        <v>569</v>
      </c>
      <c r="X205" s="231" t="s">
        <v>570</v>
      </c>
      <c r="Y205" s="231" t="s">
        <v>571</v>
      </c>
      <c r="AA205" s="231">
        <f t="shared" si="259"/>
        <v>0</v>
      </c>
      <c r="AB205" s="231">
        <f t="shared" si="260"/>
        <v>0</v>
      </c>
      <c r="AC205" s="231">
        <f t="shared" si="261"/>
        <v>0</v>
      </c>
      <c r="AD205" s="231">
        <f t="shared" si="262"/>
        <v>0</v>
      </c>
      <c r="AE205" s="231">
        <f t="shared" si="263"/>
        <v>1</v>
      </c>
      <c r="AF205" s="231">
        <f t="shared" si="264"/>
        <v>0</v>
      </c>
      <c r="AG205" s="231">
        <f t="shared" si="265"/>
        <v>1</v>
      </c>
      <c r="AH205" s="231">
        <f t="shared" si="266"/>
        <v>0</v>
      </c>
      <c r="AI205" s="231">
        <f t="shared" si="267"/>
        <v>1</v>
      </c>
      <c r="AJ205" s="231">
        <f t="shared" si="268"/>
        <v>1</v>
      </c>
      <c r="AK205" s="231">
        <f t="shared" si="269"/>
        <v>0</v>
      </c>
      <c r="AL205" s="231">
        <f t="shared" si="270"/>
        <v>1</v>
      </c>
      <c r="AM205" s="231">
        <f t="shared" si="271"/>
        <v>5</v>
      </c>
    </row>
    <row r="206" spans="4:39" x14ac:dyDescent="0.25">
      <c r="D206" s="231">
        <v>48</v>
      </c>
      <c r="F206" s="231" t="s">
        <v>73</v>
      </c>
      <c r="I206" s="231" t="s">
        <v>76</v>
      </c>
      <c r="J206" s="231" t="s">
        <v>75</v>
      </c>
      <c r="L206" s="231" t="s">
        <v>78</v>
      </c>
      <c r="M206" s="231" t="s">
        <v>515</v>
      </c>
      <c r="N206" s="231" t="s">
        <v>516</v>
      </c>
      <c r="O206" s="232" t="s">
        <v>517</v>
      </c>
      <c r="P206" s="231" t="s">
        <v>70</v>
      </c>
      <c r="R206" s="231" t="s">
        <v>564</v>
      </c>
      <c r="S206" s="231" t="s">
        <v>565</v>
      </c>
      <c r="T206" s="231" t="s">
        <v>574</v>
      </c>
      <c r="U206" s="231" t="s">
        <v>567</v>
      </c>
      <c r="V206" s="231" t="s">
        <v>566</v>
      </c>
      <c r="W206" s="231" t="s">
        <v>568</v>
      </c>
      <c r="X206" s="231" t="s">
        <v>570</v>
      </c>
      <c r="Y206" s="231" t="s">
        <v>571</v>
      </c>
      <c r="AA206" s="231">
        <f t="shared" si="259"/>
        <v>0</v>
      </c>
      <c r="AB206" s="231">
        <f t="shared" si="260"/>
        <v>0</v>
      </c>
      <c r="AC206" s="231">
        <f t="shared" si="261"/>
        <v>0</v>
      </c>
      <c r="AD206" s="231">
        <f t="shared" si="262"/>
        <v>0</v>
      </c>
      <c r="AE206" s="231">
        <f t="shared" si="263"/>
        <v>1</v>
      </c>
      <c r="AF206" s="231">
        <f t="shared" si="264"/>
        <v>1</v>
      </c>
      <c r="AG206" s="231">
        <f t="shared" si="265"/>
        <v>0</v>
      </c>
      <c r="AH206" s="231">
        <f t="shared" si="266"/>
        <v>0</v>
      </c>
      <c r="AI206" s="231">
        <f t="shared" si="267"/>
        <v>1</v>
      </c>
      <c r="AJ206" s="231">
        <f t="shared" si="268"/>
        <v>1</v>
      </c>
      <c r="AK206" s="231">
        <f t="shared" si="269"/>
        <v>0</v>
      </c>
      <c r="AL206" s="231">
        <f t="shared" si="270"/>
        <v>1</v>
      </c>
      <c r="AM206" s="231">
        <f t="shared" si="271"/>
        <v>5</v>
      </c>
    </row>
    <row r="207" spans="4:39" x14ac:dyDescent="0.25">
      <c r="D207" s="231">
        <v>49</v>
      </c>
      <c r="F207" s="231" t="s">
        <v>73</v>
      </c>
      <c r="I207" s="231" t="s">
        <v>76</v>
      </c>
      <c r="J207" s="231" t="s">
        <v>75</v>
      </c>
      <c r="K207" s="231" t="s">
        <v>77</v>
      </c>
      <c r="M207" s="231" t="s">
        <v>515</v>
      </c>
      <c r="N207" s="231" t="s">
        <v>516</v>
      </c>
      <c r="O207" s="232" t="s">
        <v>517</v>
      </c>
      <c r="P207" s="231" t="s">
        <v>70</v>
      </c>
      <c r="R207" s="231" t="s">
        <v>564</v>
      </c>
      <c r="S207" s="231" t="s">
        <v>565</v>
      </c>
      <c r="T207" s="231" t="s">
        <v>574</v>
      </c>
      <c r="U207" s="231" t="s">
        <v>567</v>
      </c>
      <c r="V207" s="231" t="s">
        <v>566</v>
      </c>
      <c r="W207" s="231" t="s">
        <v>569</v>
      </c>
      <c r="X207" s="231" t="s">
        <v>570</v>
      </c>
      <c r="Y207" s="231" t="s">
        <v>571</v>
      </c>
      <c r="AA207" s="231">
        <f t="shared" si="259"/>
        <v>0</v>
      </c>
      <c r="AB207" s="231">
        <f t="shared" si="260"/>
        <v>0</v>
      </c>
      <c r="AC207" s="231">
        <f t="shared" si="261"/>
        <v>0</v>
      </c>
      <c r="AD207" s="231">
        <f t="shared" si="262"/>
        <v>0</v>
      </c>
      <c r="AE207" s="231">
        <f t="shared" si="263"/>
        <v>1</v>
      </c>
      <c r="AF207" s="231">
        <f t="shared" si="264"/>
        <v>1</v>
      </c>
      <c r="AG207" s="231">
        <f t="shared" si="265"/>
        <v>1</v>
      </c>
      <c r="AH207" s="231">
        <f t="shared" si="266"/>
        <v>0</v>
      </c>
      <c r="AI207" s="231">
        <f t="shared" si="267"/>
        <v>1</v>
      </c>
      <c r="AJ207" s="231">
        <f t="shared" si="268"/>
        <v>1</v>
      </c>
      <c r="AK207" s="231">
        <f t="shared" si="269"/>
        <v>0</v>
      </c>
      <c r="AL207" s="231">
        <f t="shared" si="270"/>
        <v>1</v>
      </c>
      <c r="AM207" s="231">
        <f t="shared" si="271"/>
        <v>6</v>
      </c>
    </row>
    <row r="208" spans="4:39" x14ac:dyDescent="0.25">
      <c r="D208" s="231">
        <v>50</v>
      </c>
      <c r="F208" s="231" t="s">
        <v>73</v>
      </c>
      <c r="I208" s="231" t="s">
        <v>76</v>
      </c>
      <c r="J208" s="231" t="s">
        <v>75</v>
      </c>
      <c r="K208" s="231" t="s">
        <v>77</v>
      </c>
      <c r="L208" s="231" t="s">
        <v>78</v>
      </c>
      <c r="N208" s="231" t="s">
        <v>516</v>
      </c>
      <c r="O208" s="232" t="s">
        <v>517</v>
      </c>
      <c r="P208" s="231" t="s">
        <v>70</v>
      </c>
      <c r="R208" s="231" t="s">
        <v>564</v>
      </c>
      <c r="S208" s="231" t="s">
        <v>565</v>
      </c>
      <c r="T208" s="231" t="s">
        <v>574</v>
      </c>
      <c r="U208" s="231" t="s">
        <v>567</v>
      </c>
      <c r="V208" s="231" t="s">
        <v>568</v>
      </c>
      <c r="W208" s="231" t="s">
        <v>569</v>
      </c>
      <c r="X208" s="231" t="s">
        <v>570</v>
      </c>
      <c r="Y208" s="231" t="s">
        <v>571</v>
      </c>
      <c r="AA208" s="231">
        <f t="shared" si="259"/>
        <v>0</v>
      </c>
      <c r="AB208" s="231">
        <f t="shared" si="260"/>
        <v>0</v>
      </c>
      <c r="AC208" s="231">
        <f t="shared" si="261"/>
        <v>0</v>
      </c>
      <c r="AD208" s="231">
        <f t="shared" si="262"/>
        <v>0</v>
      </c>
      <c r="AE208" s="231">
        <f t="shared" si="263"/>
        <v>1</v>
      </c>
      <c r="AF208" s="231">
        <f t="shared" si="264"/>
        <v>1</v>
      </c>
      <c r="AG208" s="231">
        <f t="shared" si="265"/>
        <v>1</v>
      </c>
      <c r="AH208" s="231">
        <f t="shared" si="266"/>
        <v>0</v>
      </c>
      <c r="AI208" s="231">
        <f t="shared" si="267"/>
        <v>0</v>
      </c>
      <c r="AJ208" s="231">
        <f t="shared" si="268"/>
        <v>1</v>
      </c>
      <c r="AK208" s="231">
        <f t="shared" si="269"/>
        <v>0</v>
      </c>
      <c r="AL208" s="231">
        <f t="shared" si="270"/>
        <v>1</v>
      </c>
      <c r="AM208" s="231">
        <f t="shared" si="271"/>
        <v>5</v>
      </c>
    </row>
    <row r="209" spans="4:39" x14ac:dyDescent="0.25">
      <c r="D209" s="231">
        <v>51</v>
      </c>
      <c r="F209" s="231" t="s">
        <v>73</v>
      </c>
      <c r="I209" s="231" t="s">
        <v>76</v>
      </c>
      <c r="J209" s="231" t="s">
        <v>75</v>
      </c>
      <c r="K209" s="231" t="s">
        <v>77</v>
      </c>
      <c r="L209" s="231" t="s">
        <v>78</v>
      </c>
      <c r="M209" s="231" t="s">
        <v>515</v>
      </c>
      <c r="O209" s="232" t="s">
        <v>517</v>
      </c>
      <c r="P209" s="231" t="s">
        <v>70</v>
      </c>
      <c r="R209" s="231" t="s">
        <v>564</v>
      </c>
      <c r="S209" s="231" t="s">
        <v>569</v>
      </c>
      <c r="T209" s="231" t="s">
        <v>574</v>
      </c>
      <c r="U209" s="231" t="s">
        <v>567</v>
      </c>
      <c r="V209" s="231" t="s">
        <v>566</v>
      </c>
      <c r="W209" s="231" t="s">
        <v>568</v>
      </c>
      <c r="X209" s="231" t="s">
        <v>570</v>
      </c>
      <c r="Y209" s="231" t="s">
        <v>571</v>
      </c>
      <c r="AA209" s="231">
        <f t="shared" si="259"/>
        <v>0</v>
      </c>
      <c r="AB209" s="231">
        <f t="shared" si="260"/>
        <v>0</v>
      </c>
      <c r="AC209" s="231">
        <f t="shared" si="261"/>
        <v>0</v>
      </c>
      <c r="AD209" s="231">
        <f t="shared" si="262"/>
        <v>0</v>
      </c>
      <c r="AE209" s="231">
        <f t="shared" si="263"/>
        <v>1</v>
      </c>
      <c r="AF209" s="231">
        <f t="shared" si="264"/>
        <v>1</v>
      </c>
      <c r="AG209" s="231">
        <f t="shared" si="265"/>
        <v>1</v>
      </c>
      <c r="AH209" s="231">
        <f t="shared" si="266"/>
        <v>0</v>
      </c>
      <c r="AI209" s="231">
        <f t="shared" si="267"/>
        <v>1</v>
      </c>
      <c r="AJ209" s="231">
        <f t="shared" si="268"/>
        <v>0</v>
      </c>
      <c r="AK209" s="231">
        <f t="shared" si="269"/>
        <v>0</v>
      </c>
      <c r="AL209" s="231">
        <f t="shared" si="270"/>
        <v>1</v>
      </c>
      <c r="AM209" s="231">
        <f t="shared" si="271"/>
        <v>5</v>
      </c>
    </row>
    <row r="210" spans="4:39" x14ac:dyDescent="0.25">
      <c r="D210" s="231">
        <v>52</v>
      </c>
      <c r="F210" s="231" t="s">
        <v>73</v>
      </c>
      <c r="I210" s="231" t="s">
        <v>76</v>
      </c>
      <c r="J210" s="231" t="s">
        <v>75</v>
      </c>
      <c r="K210" s="231" t="s">
        <v>77</v>
      </c>
      <c r="L210" s="231" t="s">
        <v>78</v>
      </c>
      <c r="M210" s="231" t="s">
        <v>515</v>
      </c>
      <c r="N210" s="231" t="s">
        <v>516</v>
      </c>
      <c r="P210" s="231" t="s">
        <v>70</v>
      </c>
      <c r="R210" s="231" t="s">
        <v>564</v>
      </c>
      <c r="S210" s="231" t="s">
        <v>565</v>
      </c>
      <c r="T210" s="231" t="s">
        <v>574</v>
      </c>
      <c r="U210" s="231" t="s">
        <v>567</v>
      </c>
      <c r="V210" s="231" t="s">
        <v>568</v>
      </c>
      <c r="W210" s="231" t="s">
        <v>569</v>
      </c>
      <c r="X210" s="231" t="s">
        <v>570</v>
      </c>
      <c r="Y210" s="231" t="s">
        <v>566</v>
      </c>
      <c r="AA210" s="231">
        <f t="shared" si="259"/>
        <v>0</v>
      </c>
      <c r="AB210" s="231">
        <f t="shared" si="260"/>
        <v>0</v>
      </c>
      <c r="AC210" s="231">
        <f t="shared" si="261"/>
        <v>0</v>
      </c>
      <c r="AD210" s="231">
        <f t="shared" si="262"/>
        <v>0</v>
      </c>
      <c r="AE210" s="231">
        <f t="shared" si="263"/>
        <v>1</v>
      </c>
      <c r="AF210" s="231">
        <f t="shared" si="264"/>
        <v>1</v>
      </c>
      <c r="AG210" s="231">
        <f t="shared" si="265"/>
        <v>1</v>
      </c>
      <c r="AH210" s="231">
        <f t="shared" si="266"/>
        <v>0</v>
      </c>
      <c r="AI210" s="231">
        <f t="shared" si="267"/>
        <v>1</v>
      </c>
      <c r="AJ210" s="231">
        <f t="shared" si="268"/>
        <v>1</v>
      </c>
      <c r="AK210" s="231">
        <f t="shared" si="269"/>
        <v>0</v>
      </c>
      <c r="AL210" s="231">
        <f t="shared" si="270"/>
        <v>1</v>
      </c>
      <c r="AM210" s="231">
        <f t="shared" si="271"/>
        <v>6</v>
      </c>
    </row>
    <row r="211" spans="4:39" x14ac:dyDescent="0.25">
      <c r="D211" s="231">
        <v>53</v>
      </c>
      <c r="F211" s="231" t="s">
        <v>73</v>
      </c>
      <c r="I211" s="231" t="s">
        <v>76</v>
      </c>
      <c r="J211" s="231" t="s">
        <v>75</v>
      </c>
      <c r="K211" s="231" t="s">
        <v>77</v>
      </c>
      <c r="L211" s="231" t="s">
        <v>78</v>
      </c>
      <c r="M211" s="231" t="s">
        <v>515</v>
      </c>
      <c r="N211" s="231" t="s">
        <v>516</v>
      </c>
      <c r="O211" s="232" t="s">
        <v>517</v>
      </c>
      <c r="R211" s="231" t="s">
        <v>564</v>
      </c>
      <c r="S211" s="231" t="s">
        <v>565</v>
      </c>
      <c r="T211" s="231" t="s">
        <v>574</v>
      </c>
      <c r="U211" s="231" t="s">
        <v>567</v>
      </c>
      <c r="V211" s="231" t="s">
        <v>568</v>
      </c>
      <c r="W211" s="231" t="s">
        <v>569</v>
      </c>
      <c r="X211" s="231" t="s">
        <v>566</v>
      </c>
      <c r="Y211" s="231" t="s">
        <v>571</v>
      </c>
      <c r="AA211" s="231">
        <f t="shared" si="259"/>
        <v>0</v>
      </c>
      <c r="AB211" s="231">
        <f t="shared" si="260"/>
        <v>0</v>
      </c>
      <c r="AC211" s="231">
        <f t="shared" si="261"/>
        <v>0</v>
      </c>
      <c r="AD211" s="231">
        <f t="shared" si="262"/>
        <v>0</v>
      </c>
      <c r="AE211" s="231">
        <f t="shared" si="263"/>
        <v>1</v>
      </c>
      <c r="AF211" s="231">
        <f t="shared" si="264"/>
        <v>1</v>
      </c>
      <c r="AG211" s="231">
        <f t="shared" si="265"/>
        <v>1</v>
      </c>
      <c r="AH211" s="231">
        <f t="shared" si="266"/>
        <v>0</v>
      </c>
      <c r="AI211" s="231">
        <f t="shared" si="267"/>
        <v>1</v>
      </c>
      <c r="AJ211" s="231">
        <f t="shared" si="268"/>
        <v>1</v>
      </c>
      <c r="AK211" s="231">
        <f t="shared" si="269"/>
        <v>0</v>
      </c>
      <c r="AL211" s="231">
        <f t="shared" si="270"/>
        <v>0</v>
      </c>
      <c r="AM211" s="231">
        <f t="shared" si="271"/>
        <v>5</v>
      </c>
    </row>
    <row r="212" spans="4:39" x14ac:dyDescent="0.25">
      <c r="D212" s="231">
        <v>54</v>
      </c>
      <c r="F212" s="231" t="s">
        <v>73</v>
      </c>
      <c r="H212" s="231" t="s">
        <v>69</v>
      </c>
      <c r="K212" s="231" t="s">
        <v>77</v>
      </c>
      <c r="L212" s="231" t="s">
        <v>78</v>
      </c>
      <c r="M212" s="231" t="s">
        <v>515</v>
      </c>
      <c r="N212" s="231" t="s">
        <v>516</v>
      </c>
      <c r="O212" s="232" t="s">
        <v>517</v>
      </c>
      <c r="P212" s="231" t="s">
        <v>70</v>
      </c>
      <c r="R212" s="231" t="s">
        <v>568</v>
      </c>
      <c r="S212" s="231" t="s">
        <v>565</v>
      </c>
      <c r="T212" s="231" t="s">
        <v>574</v>
      </c>
      <c r="U212" s="231" t="s">
        <v>572</v>
      </c>
      <c r="V212" s="231" t="s">
        <v>566</v>
      </c>
      <c r="W212" s="231" t="s">
        <v>569</v>
      </c>
      <c r="X212" s="231" t="s">
        <v>570</v>
      </c>
      <c r="Y212" s="231" t="s">
        <v>571</v>
      </c>
      <c r="AA212" s="231">
        <f t="shared" si="259"/>
        <v>0</v>
      </c>
      <c r="AB212" s="231">
        <f t="shared" si="260"/>
        <v>0</v>
      </c>
      <c r="AC212" s="231">
        <f t="shared" si="261"/>
        <v>0</v>
      </c>
      <c r="AD212" s="231">
        <f t="shared" si="262"/>
        <v>1</v>
      </c>
      <c r="AE212" s="231">
        <f t="shared" si="263"/>
        <v>0</v>
      </c>
      <c r="AF212" s="231">
        <f t="shared" si="264"/>
        <v>0</v>
      </c>
      <c r="AG212" s="231">
        <f t="shared" si="265"/>
        <v>1</v>
      </c>
      <c r="AH212" s="231">
        <f t="shared" si="266"/>
        <v>0</v>
      </c>
      <c r="AI212" s="231">
        <f t="shared" si="267"/>
        <v>1</v>
      </c>
      <c r="AJ212" s="231">
        <f t="shared" si="268"/>
        <v>1</v>
      </c>
      <c r="AK212" s="231">
        <f t="shared" si="269"/>
        <v>0</v>
      </c>
      <c r="AL212" s="231">
        <f t="shared" si="270"/>
        <v>1</v>
      </c>
      <c r="AM212" s="231">
        <f t="shared" si="271"/>
        <v>5</v>
      </c>
    </row>
    <row r="213" spans="4:39" x14ac:dyDescent="0.25">
      <c r="D213" s="231">
        <v>55</v>
      </c>
      <c r="F213" s="231" t="s">
        <v>73</v>
      </c>
      <c r="H213" s="231" t="s">
        <v>69</v>
      </c>
      <c r="J213" s="231" t="s">
        <v>75</v>
      </c>
      <c r="L213" s="231" t="s">
        <v>78</v>
      </c>
      <c r="M213" s="231" t="s">
        <v>515</v>
      </c>
      <c r="N213" s="231" t="s">
        <v>516</v>
      </c>
      <c r="O213" s="232" t="s">
        <v>517</v>
      </c>
      <c r="P213" s="231" t="s">
        <v>70</v>
      </c>
      <c r="R213" s="231" t="s">
        <v>568</v>
      </c>
      <c r="S213" s="231" t="s">
        <v>565</v>
      </c>
      <c r="T213" s="231" t="s">
        <v>574</v>
      </c>
      <c r="U213" s="231" t="s">
        <v>572</v>
      </c>
      <c r="V213" s="231" t="s">
        <v>566</v>
      </c>
      <c r="W213" s="231" t="s">
        <v>567</v>
      </c>
      <c r="X213" s="231" t="s">
        <v>570</v>
      </c>
      <c r="Y213" s="231" t="s">
        <v>571</v>
      </c>
      <c r="AA213" s="231">
        <f t="shared" si="259"/>
        <v>0</v>
      </c>
      <c r="AB213" s="231">
        <f t="shared" si="260"/>
        <v>0</v>
      </c>
      <c r="AC213" s="231">
        <f t="shared" si="261"/>
        <v>0</v>
      </c>
      <c r="AD213" s="231">
        <f t="shared" si="262"/>
        <v>1</v>
      </c>
      <c r="AE213" s="231">
        <f t="shared" si="263"/>
        <v>0</v>
      </c>
      <c r="AF213" s="231">
        <f t="shared" si="264"/>
        <v>1</v>
      </c>
      <c r="AG213" s="231">
        <f t="shared" si="265"/>
        <v>0</v>
      </c>
      <c r="AH213" s="231">
        <f t="shared" si="266"/>
        <v>0</v>
      </c>
      <c r="AI213" s="231">
        <f t="shared" si="267"/>
        <v>1</v>
      </c>
      <c r="AJ213" s="231">
        <f t="shared" si="268"/>
        <v>1</v>
      </c>
      <c r="AK213" s="231">
        <f t="shared" si="269"/>
        <v>0</v>
      </c>
      <c r="AL213" s="231">
        <f t="shared" si="270"/>
        <v>1</v>
      </c>
      <c r="AM213" s="231">
        <f t="shared" si="271"/>
        <v>5</v>
      </c>
    </row>
    <row r="214" spans="4:39" x14ac:dyDescent="0.25">
      <c r="D214" s="231">
        <v>56</v>
      </c>
      <c r="F214" s="231" t="s">
        <v>73</v>
      </c>
      <c r="H214" s="231" t="s">
        <v>69</v>
      </c>
      <c r="J214" s="231" t="s">
        <v>75</v>
      </c>
      <c r="K214" s="231" t="s">
        <v>77</v>
      </c>
      <c r="M214" s="231" t="s">
        <v>515</v>
      </c>
      <c r="N214" s="231" t="s">
        <v>516</v>
      </c>
      <c r="O214" s="232" t="s">
        <v>517</v>
      </c>
      <c r="P214" s="231" t="s">
        <v>70</v>
      </c>
      <c r="R214" s="231" t="s">
        <v>566</v>
      </c>
      <c r="S214" s="231" t="s">
        <v>569</v>
      </c>
      <c r="T214" s="231" t="s">
        <v>574</v>
      </c>
      <c r="U214" s="231" t="s">
        <v>572</v>
      </c>
      <c r="V214" s="231" t="s">
        <v>565</v>
      </c>
      <c r="W214" s="231" t="s">
        <v>567</v>
      </c>
      <c r="X214" s="231" t="s">
        <v>570</v>
      </c>
      <c r="Y214" s="231" t="s">
        <v>571</v>
      </c>
      <c r="AA214" s="231">
        <f t="shared" si="259"/>
        <v>0</v>
      </c>
      <c r="AB214" s="231">
        <f t="shared" si="260"/>
        <v>0</v>
      </c>
      <c r="AC214" s="231">
        <f t="shared" si="261"/>
        <v>0</v>
      </c>
      <c r="AD214" s="231">
        <f t="shared" si="262"/>
        <v>1</v>
      </c>
      <c r="AE214" s="231">
        <f t="shared" si="263"/>
        <v>0</v>
      </c>
      <c r="AF214" s="231">
        <f t="shared" si="264"/>
        <v>1</v>
      </c>
      <c r="AG214" s="231">
        <f t="shared" si="265"/>
        <v>1</v>
      </c>
      <c r="AH214" s="231">
        <f t="shared" si="266"/>
        <v>0</v>
      </c>
      <c r="AI214" s="231">
        <f t="shared" si="267"/>
        <v>1</v>
      </c>
      <c r="AJ214" s="231">
        <f t="shared" si="268"/>
        <v>1</v>
      </c>
      <c r="AK214" s="231">
        <f t="shared" si="269"/>
        <v>0</v>
      </c>
      <c r="AL214" s="231">
        <f t="shared" si="270"/>
        <v>1</v>
      </c>
      <c r="AM214" s="231">
        <f t="shared" si="271"/>
        <v>6</v>
      </c>
    </row>
    <row r="215" spans="4:39" x14ac:dyDescent="0.25">
      <c r="D215" s="231">
        <v>57</v>
      </c>
      <c r="F215" s="231" t="s">
        <v>73</v>
      </c>
      <c r="H215" s="231" t="s">
        <v>69</v>
      </c>
      <c r="J215" s="231" t="s">
        <v>75</v>
      </c>
      <c r="K215" s="231" t="s">
        <v>77</v>
      </c>
      <c r="L215" s="231" t="s">
        <v>78</v>
      </c>
      <c r="N215" s="231" t="s">
        <v>516</v>
      </c>
      <c r="O215" s="232" t="s">
        <v>517</v>
      </c>
      <c r="P215" s="231" t="s">
        <v>70</v>
      </c>
      <c r="R215" s="231" t="s">
        <v>568</v>
      </c>
      <c r="S215" s="231" t="s">
        <v>569</v>
      </c>
      <c r="T215" s="231" t="s">
        <v>574</v>
      </c>
      <c r="U215" s="231" t="s">
        <v>572</v>
      </c>
      <c r="V215" s="231" t="s">
        <v>565</v>
      </c>
      <c r="W215" s="231" t="s">
        <v>567</v>
      </c>
      <c r="X215" s="231" t="s">
        <v>570</v>
      </c>
      <c r="Y215" s="231" t="s">
        <v>571</v>
      </c>
      <c r="AA215" s="231">
        <f t="shared" si="259"/>
        <v>0</v>
      </c>
      <c r="AB215" s="231">
        <f t="shared" si="260"/>
        <v>0</v>
      </c>
      <c r="AC215" s="231">
        <f t="shared" si="261"/>
        <v>0</v>
      </c>
      <c r="AD215" s="231">
        <f t="shared" si="262"/>
        <v>1</v>
      </c>
      <c r="AE215" s="231">
        <f t="shared" si="263"/>
        <v>0</v>
      </c>
      <c r="AF215" s="231">
        <f t="shared" si="264"/>
        <v>1</v>
      </c>
      <c r="AG215" s="231">
        <f t="shared" si="265"/>
        <v>1</v>
      </c>
      <c r="AH215" s="231">
        <f t="shared" si="266"/>
        <v>0</v>
      </c>
      <c r="AI215" s="231">
        <f t="shared" si="267"/>
        <v>0</v>
      </c>
      <c r="AJ215" s="231">
        <f t="shared" si="268"/>
        <v>1</v>
      </c>
      <c r="AK215" s="231">
        <f t="shared" si="269"/>
        <v>0</v>
      </c>
      <c r="AL215" s="231">
        <f t="shared" si="270"/>
        <v>1</v>
      </c>
      <c r="AM215" s="231">
        <f t="shared" si="271"/>
        <v>5</v>
      </c>
    </row>
    <row r="216" spans="4:39" x14ac:dyDescent="0.25">
      <c r="D216" s="231">
        <v>58</v>
      </c>
      <c r="F216" s="231" t="s">
        <v>73</v>
      </c>
      <c r="H216" s="231" t="s">
        <v>69</v>
      </c>
      <c r="J216" s="231" t="s">
        <v>75</v>
      </c>
      <c r="K216" s="231" t="s">
        <v>77</v>
      </c>
      <c r="L216" s="231" t="s">
        <v>78</v>
      </c>
      <c r="M216" s="231" t="s">
        <v>515</v>
      </c>
      <c r="O216" s="232" t="s">
        <v>517</v>
      </c>
      <c r="P216" s="231" t="s">
        <v>70</v>
      </c>
      <c r="R216" s="231" t="s">
        <v>568</v>
      </c>
      <c r="S216" s="231" t="s">
        <v>569</v>
      </c>
      <c r="T216" s="231" t="s">
        <v>574</v>
      </c>
      <c r="U216" s="231" t="s">
        <v>572</v>
      </c>
      <c r="V216" s="231" t="s">
        <v>566</v>
      </c>
      <c r="W216" s="231" t="s">
        <v>567</v>
      </c>
      <c r="X216" s="231" t="s">
        <v>570</v>
      </c>
      <c r="Y216" s="231" t="s">
        <v>571</v>
      </c>
      <c r="AA216" s="231">
        <f t="shared" si="259"/>
        <v>0</v>
      </c>
      <c r="AB216" s="231">
        <f t="shared" si="260"/>
        <v>0</v>
      </c>
      <c r="AC216" s="231">
        <f t="shared" si="261"/>
        <v>0</v>
      </c>
      <c r="AD216" s="231">
        <f t="shared" si="262"/>
        <v>1</v>
      </c>
      <c r="AE216" s="231">
        <f t="shared" si="263"/>
        <v>0</v>
      </c>
      <c r="AF216" s="231">
        <f t="shared" si="264"/>
        <v>1</v>
      </c>
      <c r="AG216" s="231">
        <f t="shared" si="265"/>
        <v>1</v>
      </c>
      <c r="AH216" s="231">
        <f t="shared" si="266"/>
        <v>0</v>
      </c>
      <c r="AI216" s="231">
        <f t="shared" si="267"/>
        <v>1</v>
      </c>
      <c r="AJ216" s="231">
        <f t="shared" si="268"/>
        <v>0</v>
      </c>
      <c r="AK216" s="231">
        <f t="shared" si="269"/>
        <v>0</v>
      </c>
      <c r="AL216" s="231">
        <f t="shared" si="270"/>
        <v>1</v>
      </c>
      <c r="AM216" s="231">
        <f t="shared" si="271"/>
        <v>5</v>
      </c>
    </row>
    <row r="217" spans="4:39" x14ac:dyDescent="0.25">
      <c r="D217" s="231">
        <v>59</v>
      </c>
      <c r="F217" s="231" t="s">
        <v>73</v>
      </c>
      <c r="H217" s="231" t="s">
        <v>69</v>
      </c>
      <c r="J217" s="231" t="s">
        <v>75</v>
      </c>
      <c r="K217" s="231" t="s">
        <v>77</v>
      </c>
      <c r="L217" s="231" t="s">
        <v>78</v>
      </c>
      <c r="M217" s="231" t="s">
        <v>515</v>
      </c>
      <c r="N217" s="231" t="s">
        <v>516</v>
      </c>
      <c r="P217" s="231" t="s">
        <v>70</v>
      </c>
      <c r="R217" s="231" t="s">
        <v>568</v>
      </c>
      <c r="S217" s="231" t="s">
        <v>569</v>
      </c>
      <c r="T217" s="231" t="s">
        <v>574</v>
      </c>
      <c r="U217" s="231" t="s">
        <v>572</v>
      </c>
      <c r="V217" s="231" t="s">
        <v>565</v>
      </c>
      <c r="W217" s="231" t="s">
        <v>567</v>
      </c>
      <c r="X217" s="231" t="s">
        <v>570</v>
      </c>
      <c r="Y217" s="231" t="s">
        <v>566</v>
      </c>
      <c r="AA217" s="231">
        <f t="shared" si="259"/>
        <v>0</v>
      </c>
      <c r="AB217" s="231">
        <f t="shared" si="260"/>
        <v>0</v>
      </c>
      <c r="AC217" s="231">
        <f t="shared" si="261"/>
        <v>0</v>
      </c>
      <c r="AD217" s="231">
        <f t="shared" si="262"/>
        <v>1</v>
      </c>
      <c r="AE217" s="231">
        <f t="shared" si="263"/>
        <v>0</v>
      </c>
      <c r="AF217" s="231">
        <f t="shared" si="264"/>
        <v>1</v>
      </c>
      <c r="AG217" s="231">
        <f t="shared" si="265"/>
        <v>1</v>
      </c>
      <c r="AH217" s="231">
        <f t="shared" si="266"/>
        <v>0</v>
      </c>
      <c r="AI217" s="231">
        <f t="shared" si="267"/>
        <v>1</v>
      </c>
      <c r="AJ217" s="231">
        <f t="shared" si="268"/>
        <v>1</v>
      </c>
      <c r="AK217" s="231">
        <f t="shared" si="269"/>
        <v>0</v>
      </c>
      <c r="AL217" s="231">
        <f t="shared" si="270"/>
        <v>1</v>
      </c>
      <c r="AM217" s="231">
        <f t="shared" si="271"/>
        <v>6</v>
      </c>
    </row>
    <row r="218" spans="4:39" x14ac:dyDescent="0.25">
      <c r="D218" s="231">
        <v>60</v>
      </c>
      <c r="F218" s="231" t="s">
        <v>73</v>
      </c>
      <c r="H218" s="231" t="s">
        <v>69</v>
      </c>
      <c r="J218" s="231" t="s">
        <v>75</v>
      </c>
      <c r="K218" s="231" t="s">
        <v>77</v>
      </c>
      <c r="L218" s="231" t="s">
        <v>78</v>
      </c>
      <c r="M218" s="231" t="s">
        <v>515</v>
      </c>
      <c r="N218" s="231" t="s">
        <v>516</v>
      </c>
      <c r="O218" s="232" t="s">
        <v>517</v>
      </c>
      <c r="R218" s="231" t="s">
        <v>568</v>
      </c>
      <c r="S218" s="231" t="s">
        <v>569</v>
      </c>
      <c r="T218" s="231" t="s">
        <v>574</v>
      </c>
      <c r="U218" s="231" t="s">
        <v>572</v>
      </c>
      <c r="V218" s="231" t="s">
        <v>565</v>
      </c>
      <c r="W218" s="231" t="s">
        <v>567</v>
      </c>
      <c r="X218" s="231" t="s">
        <v>566</v>
      </c>
      <c r="Y218" s="231" t="s">
        <v>571</v>
      </c>
      <c r="AA218" s="231">
        <f t="shared" si="259"/>
        <v>0</v>
      </c>
      <c r="AB218" s="231">
        <f t="shared" si="260"/>
        <v>0</v>
      </c>
      <c r="AC218" s="231">
        <f t="shared" si="261"/>
        <v>0</v>
      </c>
      <c r="AD218" s="231">
        <f t="shared" si="262"/>
        <v>1</v>
      </c>
      <c r="AE218" s="231">
        <f t="shared" si="263"/>
        <v>0</v>
      </c>
      <c r="AF218" s="231">
        <f t="shared" si="264"/>
        <v>1</v>
      </c>
      <c r="AG218" s="231">
        <f t="shared" si="265"/>
        <v>1</v>
      </c>
      <c r="AH218" s="231">
        <f t="shared" si="266"/>
        <v>0</v>
      </c>
      <c r="AI218" s="231">
        <f t="shared" si="267"/>
        <v>1</v>
      </c>
      <c r="AJ218" s="231">
        <f t="shared" si="268"/>
        <v>1</v>
      </c>
      <c r="AK218" s="231">
        <f t="shared" si="269"/>
        <v>0</v>
      </c>
      <c r="AL218" s="231">
        <f t="shared" si="270"/>
        <v>0</v>
      </c>
      <c r="AM218" s="231">
        <f t="shared" si="271"/>
        <v>5</v>
      </c>
    </row>
    <row r="219" spans="4:39" x14ac:dyDescent="0.25">
      <c r="D219" s="231">
        <v>61</v>
      </c>
      <c r="F219" s="231" t="s">
        <v>73</v>
      </c>
      <c r="H219" s="231" t="s">
        <v>69</v>
      </c>
      <c r="I219" s="231" t="s">
        <v>76</v>
      </c>
      <c r="L219" s="231" t="s">
        <v>78</v>
      </c>
      <c r="M219" s="231" t="s">
        <v>515</v>
      </c>
      <c r="N219" s="231" t="s">
        <v>516</v>
      </c>
      <c r="O219" s="232" t="s">
        <v>517</v>
      </c>
      <c r="P219" s="231" t="s">
        <v>70</v>
      </c>
      <c r="R219" s="231" t="s">
        <v>564</v>
      </c>
      <c r="S219" s="231" t="s">
        <v>565</v>
      </c>
      <c r="T219" s="231" t="s">
        <v>574</v>
      </c>
      <c r="U219" s="231" t="s">
        <v>572</v>
      </c>
      <c r="V219" s="231" t="s">
        <v>566</v>
      </c>
      <c r="W219" s="231" t="s">
        <v>568</v>
      </c>
      <c r="X219" s="231" t="s">
        <v>570</v>
      </c>
      <c r="Y219" s="231" t="s">
        <v>571</v>
      </c>
      <c r="AA219" s="231">
        <f t="shared" si="259"/>
        <v>0</v>
      </c>
      <c r="AB219" s="231">
        <f t="shared" si="260"/>
        <v>0</v>
      </c>
      <c r="AC219" s="231">
        <f t="shared" si="261"/>
        <v>0</v>
      </c>
      <c r="AD219" s="231">
        <f t="shared" si="262"/>
        <v>1</v>
      </c>
      <c r="AE219" s="231">
        <f t="shared" si="263"/>
        <v>1</v>
      </c>
      <c r="AF219" s="231">
        <f t="shared" si="264"/>
        <v>0</v>
      </c>
      <c r="AG219" s="231">
        <f t="shared" si="265"/>
        <v>0</v>
      </c>
      <c r="AH219" s="231">
        <f t="shared" si="266"/>
        <v>0</v>
      </c>
      <c r="AI219" s="231">
        <f t="shared" si="267"/>
        <v>1</v>
      </c>
      <c r="AJ219" s="231">
        <f t="shared" si="268"/>
        <v>1</v>
      </c>
      <c r="AK219" s="231">
        <f t="shared" si="269"/>
        <v>0</v>
      </c>
      <c r="AL219" s="231">
        <f t="shared" si="270"/>
        <v>1</v>
      </c>
      <c r="AM219" s="231">
        <f t="shared" si="271"/>
        <v>5</v>
      </c>
    </row>
    <row r="220" spans="4:39" x14ac:dyDescent="0.25">
      <c r="D220" s="231">
        <v>62</v>
      </c>
      <c r="F220" s="231" t="s">
        <v>73</v>
      </c>
      <c r="H220" s="231" t="s">
        <v>69</v>
      </c>
      <c r="I220" s="231" t="s">
        <v>76</v>
      </c>
      <c r="K220" s="231" t="s">
        <v>77</v>
      </c>
      <c r="M220" s="231" t="s">
        <v>515</v>
      </c>
      <c r="N220" s="231" t="s">
        <v>516</v>
      </c>
      <c r="O220" s="232" t="s">
        <v>517</v>
      </c>
      <c r="P220" s="231" t="s">
        <v>70</v>
      </c>
      <c r="R220" s="231" t="s">
        <v>564</v>
      </c>
      <c r="S220" s="231" t="s">
        <v>565</v>
      </c>
      <c r="T220" s="231" t="s">
        <v>574</v>
      </c>
      <c r="U220" s="231" t="s">
        <v>572</v>
      </c>
      <c r="V220" s="231" t="s">
        <v>566</v>
      </c>
      <c r="W220" s="231" t="s">
        <v>569</v>
      </c>
      <c r="X220" s="231" t="s">
        <v>570</v>
      </c>
      <c r="Y220" s="231" t="s">
        <v>571</v>
      </c>
      <c r="AA220" s="231">
        <f t="shared" si="259"/>
        <v>0</v>
      </c>
      <c r="AB220" s="231">
        <f t="shared" si="260"/>
        <v>0</v>
      </c>
      <c r="AC220" s="231">
        <f t="shared" si="261"/>
        <v>0</v>
      </c>
      <c r="AD220" s="231">
        <f t="shared" si="262"/>
        <v>1</v>
      </c>
      <c r="AE220" s="231">
        <f t="shared" si="263"/>
        <v>1</v>
      </c>
      <c r="AF220" s="231">
        <f t="shared" si="264"/>
        <v>0</v>
      </c>
      <c r="AG220" s="231">
        <f t="shared" si="265"/>
        <v>1</v>
      </c>
      <c r="AH220" s="231">
        <f t="shared" si="266"/>
        <v>0</v>
      </c>
      <c r="AI220" s="231">
        <f t="shared" si="267"/>
        <v>1</v>
      </c>
      <c r="AJ220" s="231">
        <f t="shared" si="268"/>
        <v>1</v>
      </c>
      <c r="AK220" s="231">
        <f t="shared" si="269"/>
        <v>0</v>
      </c>
      <c r="AL220" s="231">
        <f t="shared" si="270"/>
        <v>1</v>
      </c>
      <c r="AM220" s="231">
        <f t="shared" si="271"/>
        <v>6</v>
      </c>
    </row>
    <row r="221" spans="4:39" x14ac:dyDescent="0.25">
      <c r="D221" s="231">
        <v>63</v>
      </c>
      <c r="F221" s="231" t="s">
        <v>73</v>
      </c>
      <c r="H221" s="231" t="s">
        <v>69</v>
      </c>
      <c r="I221" s="231" t="s">
        <v>76</v>
      </c>
      <c r="K221" s="231" t="s">
        <v>77</v>
      </c>
      <c r="L221" s="231" t="s">
        <v>78</v>
      </c>
      <c r="N221" s="231" t="s">
        <v>516</v>
      </c>
      <c r="O221" s="232" t="s">
        <v>517</v>
      </c>
      <c r="P221" s="231" t="s">
        <v>70</v>
      </c>
      <c r="R221" s="231" t="s">
        <v>564</v>
      </c>
      <c r="S221" s="231" t="s">
        <v>565</v>
      </c>
      <c r="T221" s="231" t="s">
        <v>574</v>
      </c>
      <c r="U221" s="231" t="s">
        <v>572</v>
      </c>
      <c r="V221" s="231" t="s">
        <v>568</v>
      </c>
      <c r="W221" s="231" t="s">
        <v>569</v>
      </c>
      <c r="X221" s="231" t="s">
        <v>570</v>
      </c>
      <c r="Y221" s="231" t="s">
        <v>571</v>
      </c>
      <c r="AA221" s="231">
        <f t="shared" si="259"/>
        <v>0</v>
      </c>
      <c r="AB221" s="231">
        <f t="shared" si="260"/>
        <v>0</v>
      </c>
      <c r="AC221" s="231">
        <f t="shared" si="261"/>
        <v>0</v>
      </c>
      <c r="AD221" s="231">
        <f t="shared" si="262"/>
        <v>1</v>
      </c>
      <c r="AE221" s="231">
        <f t="shared" si="263"/>
        <v>1</v>
      </c>
      <c r="AF221" s="231">
        <f t="shared" si="264"/>
        <v>0</v>
      </c>
      <c r="AG221" s="231">
        <f t="shared" si="265"/>
        <v>1</v>
      </c>
      <c r="AH221" s="231">
        <f t="shared" si="266"/>
        <v>0</v>
      </c>
      <c r="AI221" s="231">
        <f t="shared" si="267"/>
        <v>0</v>
      </c>
      <c r="AJ221" s="231">
        <f t="shared" si="268"/>
        <v>1</v>
      </c>
      <c r="AK221" s="231">
        <f t="shared" si="269"/>
        <v>0</v>
      </c>
      <c r="AL221" s="231">
        <f t="shared" si="270"/>
        <v>1</v>
      </c>
      <c r="AM221" s="231">
        <f t="shared" si="271"/>
        <v>5</v>
      </c>
    </row>
    <row r="222" spans="4:39" x14ac:dyDescent="0.25">
      <c r="D222" s="231">
        <v>64</v>
      </c>
      <c r="F222" s="231" t="s">
        <v>73</v>
      </c>
      <c r="H222" s="231" t="s">
        <v>69</v>
      </c>
      <c r="I222" s="231" t="s">
        <v>76</v>
      </c>
      <c r="K222" s="231" t="s">
        <v>77</v>
      </c>
      <c r="L222" s="231" t="s">
        <v>78</v>
      </c>
      <c r="M222" s="231" t="s">
        <v>515</v>
      </c>
      <c r="O222" s="232" t="s">
        <v>517</v>
      </c>
      <c r="P222" s="231" t="s">
        <v>70</v>
      </c>
      <c r="R222" s="231" t="s">
        <v>564</v>
      </c>
      <c r="S222" s="231" t="s">
        <v>569</v>
      </c>
      <c r="T222" s="231" t="s">
        <v>574</v>
      </c>
      <c r="U222" s="231" t="s">
        <v>572</v>
      </c>
      <c r="V222" s="231" t="s">
        <v>566</v>
      </c>
      <c r="W222" s="231" t="s">
        <v>568</v>
      </c>
      <c r="X222" s="231" t="s">
        <v>570</v>
      </c>
      <c r="Y222" s="231" t="s">
        <v>571</v>
      </c>
      <c r="AA222" s="231">
        <f t="shared" si="259"/>
        <v>0</v>
      </c>
      <c r="AB222" s="231">
        <f t="shared" si="260"/>
        <v>0</v>
      </c>
      <c r="AC222" s="231">
        <f t="shared" si="261"/>
        <v>0</v>
      </c>
      <c r="AD222" s="231">
        <f t="shared" si="262"/>
        <v>1</v>
      </c>
      <c r="AE222" s="231">
        <f t="shared" si="263"/>
        <v>1</v>
      </c>
      <c r="AF222" s="231">
        <f t="shared" si="264"/>
        <v>0</v>
      </c>
      <c r="AG222" s="231">
        <f t="shared" si="265"/>
        <v>1</v>
      </c>
      <c r="AH222" s="231">
        <f t="shared" si="266"/>
        <v>0</v>
      </c>
      <c r="AI222" s="231">
        <f t="shared" si="267"/>
        <v>1</v>
      </c>
      <c r="AJ222" s="231">
        <f t="shared" si="268"/>
        <v>0</v>
      </c>
      <c r="AK222" s="231">
        <f t="shared" si="269"/>
        <v>0</v>
      </c>
      <c r="AL222" s="231">
        <f t="shared" si="270"/>
        <v>1</v>
      </c>
      <c r="AM222" s="231">
        <f t="shared" si="271"/>
        <v>5</v>
      </c>
    </row>
    <row r="223" spans="4:39" x14ac:dyDescent="0.25">
      <c r="D223" s="231">
        <v>65</v>
      </c>
      <c r="F223" s="231" t="s">
        <v>73</v>
      </c>
      <c r="H223" s="231" t="s">
        <v>69</v>
      </c>
      <c r="I223" s="231" t="s">
        <v>76</v>
      </c>
      <c r="K223" s="231" t="s">
        <v>77</v>
      </c>
      <c r="L223" s="231" t="s">
        <v>78</v>
      </c>
      <c r="M223" s="231" t="s">
        <v>515</v>
      </c>
      <c r="N223" s="231" t="s">
        <v>516</v>
      </c>
      <c r="P223" s="231" t="s">
        <v>70</v>
      </c>
      <c r="R223" s="231" t="s">
        <v>564</v>
      </c>
      <c r="S223" s="231" t="s">
        <v>565</v>
      </c>
      <c r="T223" s="231" t="s">
        <v>574</v>
      </c>
      <c r="U223" s="231" t="s">
        <v>572</v>
      </c>
      <c r="V223" s="231" t="s">
        <v>568</v>
      </c>
      <c r="W223" s="231" t="s">
        <v>569</v>
      </c>
      <c r="X223" s="231" t="s">
        <v>570</v>
      </c>
      <c r="Y223" s="231" t="s">
        <v>566</v>
      </c>
      <c r="AA223" s="231">
        <f t="shared" si="259"/>
        <v>0</v>
      </c>
      <c r="AB223" s="231">
        <f t="shared" si="260"/>
        <v>0</v>
      </c>
      <c r="AC223" s="231">
        <f t="shared" si="261"/>
        <v>0</v>
      </c>
      <c r="AD223" s="231">
        <f t="shared" si="262"/>
        <v>1</v>
      </c>
      <c r="AE223" s="231">
        <f t="shared" si="263"/>
        <v>1</v>
      </c>
      <c r="AF223" s="231">
        <f t="shared" si="264"/>
        <v>0</v>
      </c>
      <c r="AG223" s="231">
        <f t="shared" si="265"/>
        <v>1</v>
      </c>
      <c r="AH223" s="231">
        <f t="shared" si="266"/>
        <v>0</v>
      </c>
      <c r="AI223" s="231">
        <f t="shared" si="267"/>
        <v>1</v>
      </c>
      <c r="AJ223" s="231">
        <f t="shared" si="268"/>
        <v>1</v>
      </c>
      <c r="AK223" s="231">
        <f t="shared" si="269"/>
        <v>0</v>
      </c>
      <c r="AL223" s="231">
        <f t="shared" si="270"/>
        <v>1</v>
      </c>
      <c r="AM223" s="231">
        <f t="shared" si="271"/>
        <v>6</v>
      </c>
    </row>
    <row r="224" spans="4:39" x14ac:dyDescent="0.25">
      <c r="D224" s="231">
        <v>66</v>
      </c>
      <c r="F224" s="231" t="s">
        <v>73</v>
      </c>
      <c r="H224" s="231" t="s">
        <v>69</v>
      </c>
      <c r="I224" s="231" t="s">
        <v>76</v>
      </c>
      <c r="K224" s="231" t="s">
        <v>77</v>
      </c>
      <c r="L224" s="231" t="s">
        <v>78</v>
      </c>
      <c r="M224" s="231" t="s">
        <v>515</v>
      </c>
      <c r="N224" s="231" t="s">
        <v>516</v>
      </c>
      <c r="O224" s="232" t="s">
        <v>517</v>
      </c>
      <c r="R224" s="231" t="s">
        <v>564</v>
      </c>
      <c r="S224" s="231" t="s">
        <v>565</v>
      </c>
      <c r="T224" s="231" t="s">
        <v>574</v>
      </c>
      <c r="U224" s="231" t="s">
        <v>572</v>
      </c>
      <c r="V224" s="231" t="s">
        <v>568</v>
      </c>
      <c r="W224" s="231" t="s">
        <v>569</v>
      </c>
      <c r="X224" s="231" t="s">
        <v>566</v>
      </c>
      <c r="Y224" s="231" t="s">
        <v>571</v>
      </c>
      <c r="AA224" s="231">
        <f t="shared" ref="AA224:AA287" si="272">IF(AND(E224&lt;&gt;"",AA$158=1),1,0)</f>
        <v>0</v>
      </c>
      <c r="AB224" s="231">
        <f t="shared" ref="AB224:AB287" si="273">IF(AND(F224&lt;&gt;"",AB$158=1),1,0)</f>
        <v>0</v>
      </c>
      <c r="AC224" s="231">
        <f t="shared" ref="AC224:AC287" si="274">IF(AND(G224&lt;&gt;"",AC$158=1),1,0)</f>
        <v>0</v>
      </c>
      <c r="AD224" s="231">
        <f t="shared" ref="AD224:AD287" si="275">IF(AND(H224&lt;&gt;"",AD$158=1),1,0)</f>
        <v>1</v>
      </c>
      <c r="AE224" s="231">
        <f t="shared" ref="AE224:AE287" si="276">IF(AND(I224&lt;&gt;"",AE$158=1),1,0)</f>
        <v>1</v>
      </c>
      <c r="AF224" s="231">
        <f t="shared" ref="AF224:AF287" si="277">IF(AND(J224&lt;&gt;"",AF$158=1),1,0)</f>
        <v>0</v>
      </c>
      <c r="AG224" s="231">
        <f t="shared" ref="AG224:AG287" si="278">IF(AND(K224&lt;&gt;"",AG$158=1),1,0)</f>
        <v>1</v>
      </c>
      <c r="AH224" s="231">
        <f t="shared" ref="AH224:AH287" si="279">IF(AND(L224&lt;&gt;"",AH$158=1),1,0)</f>
        <v>0</v>
      </c>
      <c r="AI224" s="231">
        <f t="shared" ref="AI224:AI287" si="280">IF(AND(M224&lt;&gt;"",AI$158=1),1,0)</f>
        <v>1</v>
      </c>
      <c r="AJ224" s="231">
        <f t="shared" ref="AJ224:AJ287" si="281">IF(AND(N224&lt;&gt;"",AJ$158=1),1,0)</f>
        <v>1</v>
      </c>
      <c r="AK224" s="231">
        <f t="shared" ref="AK224:AK287" si="282">IF(AND(O224&lt;&gt;"",AK$158=1),1,0)</f>
        <v>0</v>
      </c>
      <c r="AL224" s="231">
        <f t="shared" ref="AL224:AL287" si="283">IF(AND(P224&lt;&gt;"",AL$158=1),1,0)</f>
        <v>0</v>
      </c>
      <c r="AM224" s="231">
        <f t="shared" ref="AM224:AM287" si="284">SUM(AA224:AL224)</f>
        <v>5</v>
      </c>
    </row>
    <row r="225" spans="4:39" x14ac:dyDescent="0.25">
      <c r="D225" s="231">
        <v>67</v>
      </c>
      <c r="F225" s="231" t="s">
        <v>73</v>
      </c>
      <c r="H225" s="231" t="s">
        <v>69</v>
      </c>
      <c r="I225" s="231" t="s">
        <v>76</v>
      </c>
      <c r="J225" s="231" t="s">
        <v>75</v>
      </c>
      <c r="M225" s="231" t="s">
        <v>515</v>
      </c>
      <c r="N225" s="231" t="s">
        <v>516</v>
      </c>
      <c r="O225" s="232" t="s">
        <v>517</v>
      </c>
      <c r="P225" s="231" t="s">
        <v>70</v>
      </c>
      <c r="R225" s="231" t="s">
        <v>564</v>
      </c>
      <c r="S225" s="231" t="s">
        <v>565</v>
      </c>
      <c r="T225" s="231" t="s">
        <v>574</v>
      </c>
      <c r="U225" s="231" t="s">
        <v>572</v>
      </c>
      <c r="V225" s="231" t="s">
        <v>566</v>
      </c>
      <c r="W225" s="231" t="s">
        <v>567</v>
      </c>
      <c r="X225" s="231" t="s">
        <v>570</v>
      </c>
      <c r="Y225" s="231" t="s">
        <v>571</v>
      </c>
      <c r="AA225" s="231">
        <f t="shared" si="272"/>
        <v>0</v>
      </c>
      <c r="AB225" s="231">
        <f t="shared" si="273"/>
        <v>0</v>
      </c>
      <c r="AC225" s="231">
        <f t="shared" si="274"/>
        <v>0</v>
      </c>
      <c r="AD225" s="231">
        <f t="shared" si="275"/>
        <v>1</v>
      </c>
      <c r="AE225" s="231">
        <f t="shared" si="276"/>
        <v>1</v>
      </c>
      <c r="AF225" s="231">
        <f t="shared" si="277"/>
        <v>1</v>
      </c>
      <c r="AG225" s="231">
        <f t="shared" si="278"/>
        <v>0</v>
      </c>
      <c r="AH225" s="231">
        <f t="shared" si="279"/>
        <v>0</v>
      </c>
      <c r="AI225" s="231">
        <f t="shared" si="280"/>
        <v>1</v>
      </c>
      <c r="AJ225" s="231">
        <f t="shared" si="281"/>
        <v>1</v>
      </c>
      <c r="AK225" s="231">
        <f t="shared" si="282"/>
        <v>0</v>
      </c>
      <c r="AL225" s="231">
        <f t="shared" si="283"/>
        <v>1</v>
      </c>
      <c r="AM225" s="231">
        <f t="shared" si="284"/>
        <v>6</v>
      </c>
    </row>
    <row r="226" spans="4:39" x14ac:dyDescent="0.25">
      <c r="D226" s="231">
        <v>68</v>
      </c>
      <c r="F226" s="231" t="s">
        <v>73</v>
      </c>
      <c r="H226" s="231" t="s">
        <v>69</v>
      </c>
      <c r="I226" s="231" t="s">
        <v>76</v>
      </c>
      <c r="J226" s="231" t="s">
        <v>75</v>
      </c>
      <c r="L226" s="231" t="s">
        <v>78</v>
      </c>
      <c r="N226" s="231" t="s">
        <v>516</v>
      </c>
      <c r="O226" s="232" t="s">
        <v>517</v>
      </c>
      <c r="P226" s="231" t="s">
        <v>70</v>
      </c>
      <c r="R226" s="231" t="s">
        <v>564</v>
      </c>
      <c r="S226" s="231" t="s">
        <v>565</v>
      </c>
      <c r="T226" s="231" t="s">
        <v>574</v>
      </c>
      <c r="U226" s="231" t="s">
        <v>572</v>
      </c>
      <c r="V226" s="231" t="s">
        <v>568</v>
      </c>
      <c r="W226" s="231" t="s">
        <v>567</v>
      </c>
      <c r="X226" s="231" t="s">
        <v>570</v>
      </c>
      <c r="Y226" s="231" t="s">
        <v>571</v>
      </c>
      <c r="AA226" s="231">
        <f t="shared" si="272"/>
        <v>0</v>
      </c>
      <c r="AB226" s="231">
        <f t="shared" si="273"/>
        <v>0</v>
      </c>
      <c r="AC226" s="231">
        <f t="shared" si="274"/>
        <v>0</v>
      </c>
      <c r="AD226" s="231">
        <f t="shared" si="275"/>
        <v>1</v>
      </c>
      <c r="AE226" s="231">
        <f t="shared" si="276"/>
        <v>1</v>
      </c>
      <c r="AF226" s="231">
        <f t="shared" si="277"/>
        <v>1</v>
      </c>
      <c r="AG226" s="231">
        <f t="shared" si="278"/>
        <v>0</v>
      </c>
      <c r="AH226" s="231">
        <f t="shared" si="279"/>
        <v>0</v>
      </c>
      <c r="AI226" s="231">
        <f t="shared" si="280"/>
        <v>0</v>
      </c>
      <c r="AJ226" s="231">
        <f t="shared" si="281"/>
        <v>1</v>
      </c>
      <c r="AK226" s="231">
        <f t="shared" si="282"/>
        <v>0</v>
      </c>
      <c r="AL226" s="231">
        <f t="shared" si="283"/>
        <v>1</v>
      </c>
      <c r="AM226" s="231">
        <f t="shared" si="284"/>
        <v>5</v>
      </c>
    </row>
    <row r="227" spans="4:39" x14ac:dyDescent="0.25">
      <c r="D227" s="231">
        <v>69</v>
      </c>
      <c r="F227" s="231" t="s">
        <v>73</v>
      </c>
      <c r="H227" s="231" t="s">
        <v>69</v>
      </c>
      <c r="I227" s="231" t="s">
        <v>76</v>
      </c>
      <c r="J227" s="231" t="s">
        <v>75</v>
      </c>
      <c r="L227" s="231" t="s">
        <v>78</v>
      </c>
      <c r="M227" s="231" t="s">
        <v>515</v>
      </c>
      <c r="O227" s="232" t="s">
        <v>517</v>
      </c>
      <c r="P227" s="231" t="s">
        <v>70</v>
      </c>
      <c r="R227" s="231" t="s">
        <v>564</v>
      </c>
      <c r="S227" s="231" t="s">
        <v>566</v>
      </c>
      <c r="T227" s="231" t="s">
        <v>574</v>
      </c>
      <c r="U227" s="231" t="s">
        <v>572</v>
      </c>
      <c r="V227" s="231" t="s">
        <v>568</v>
      </c>
      <c r="W227" s="231" t="s">
        <v>567</v>
      </c>
      <c r="X227" s="231" t="s">
        <v>570</v>
      </c>
      <c r="Y227" s="231" t="s">
        <v>571</v>
      </c>
      <c r="AA227" s="231">
        <f t="shared" si="272"/>
        <v>0</v>
      </c>
      <c r="AB227" s="231">
        <f t="shared" si="273"/>
        <v>0</v>
      </c>
      <c r="AC227" s="231">
        <f t="shared" si="274"/>
        <v>0</v>
      </c>
      <c r="AD227" s="231">
        <f t="shared" si="275"/>
        <v>1</v>
      </c>
      <c r="AE227" s="231">
        <f t="shared" si="276"/>
        <v>1</v>
      </c>
      <c r="AF227" s="231">
        <f t="shared" si="277"/>
        <v>1</v>
      </c>
      <c r="AG227" s="231">
        <f t="shared" si="278"/>
        <v>0</v>
      </c>
      <c r="AH227" s="231">
        <f t="shared" si="279"/>
        <v>0</v>
      </c>
      <c r="AI227" s="231">
        <f t="shared" si="280"/>
        <v>1</v>
      </c>
      <c r="AJ227" s="231">
        <f t="shared" si="281"/>
        <v>0</v>
      </c>
      <c r="AK227" s="231">
        <f t="shared" si="282"/>
        <v>0</v>
      </c>
      <c r="AL227" s="231">
        <f t="shared" si="283"/>
        <v>1</v>
      </c>
      <c r="AM227" s="231">
        <f t="shared" si="284"/>
        <v>5</v>
      </c>
    </row>
    <row r="228" spans="4:39" x14ac:dyDescent="0.25">
      <c r="D228" s="231">
        <v>70</v>
      </c>
      <c r="F228" s="231" t="s">
        <v>73</v>
      </c>
      <c r="H228" s="231" t="s">
        <v>69</v>
      </c>
      <c r="I228" s="231" t="s">
        <v>76</v>
      </c>
      <c r="J228" s="231" t="s">
        <v>75</v>
      </c>
      <c r="L228" s="231" t="s">
        <v>78</v>
      </c>
      <c r="M228" s="231" t="s">
        <v>515</v>
      </c>
      <c r="N228" s="231" t="s">
        <v>516</v>
      </c>
      <c r="P228" s="231" t="s">
        <v>70</v>
      </c>
      <c r="R228" s="231" t="s">
        <v>564</v>
      </c>
      <c r="S228" s="231" t="s">
        <v>565</v>
      </c>
      <c r="T228" s="231" t="s">
        <v>574</v>
      </c>
      <c r="U228" s="231" t="s">
        <v>572</v>
      </c>
      <c r="V228" s="231" t="s">
        <v>568</v>
      </c>
      <c r="W228" s="231" t="s">
        <v>567</v>
      </c>
      <c r="X228" s="231" t="s">
        <v>570</v>
      </c>
      <c r="Y228" s="231" t="s">
        <v>566</v>
      </c>
      <c r="AA228" s="231">
        <f t="shared" si="272"/>
        <v>0</v>
      </c>
      <c r="AB228" s="231">
        <f t="shared" si="273"/>
        <v>0</v>
      </c>
      <c r="AC228" s="231">
        <f t="shared" si="274"/>
        <v>0</v>
      </c>
      <c r="AD228" s="231">
        <f t="shared" si="275"/>
        <v>1</v>
      </c>
      <c r="AE228" s="231">
        <f t="shared" si="276"/>
        <v>1</v>
      </c>
      <c r="AF228" s="231">
        <f t="shared" si="277"/>
        <v>1</v>
      </c>
      <c r="AG228" s="231">
        <f t="shared" si="278"/>
        <v>0</v>
      </c>
      <c r="AH228" s="231">
        <f t="shared" si="279"/>
        <v>0</v>
      </c>
      <c r="AI228" s="231">
        <f t="shared" si="280"/>
        <v>1</v>
      </c>
      <c r="AJ228" s="231">
        <f t="shared" si="281"/>
        <v>1</v>
      </c>
      <c r="AK228" s="231">
        <f t="shared" si="282"/>
        <v>0</v>
      </c>
      <c r="AL228" s="231">
        <f t="shared" si="283"/>
        <v>1</v>
      </c>
      <c r="AM228" s="231">
        <f t="shared" si="284"/>
        <v>6</v>
      </c>
    </row>
    <row r="229" spans="4:39" x14ac:dyDescent="0.25">
      <c r="D229" s="231">
        <v>71</v>
      </c>
      <c r="F229" s="231" t="s">
        <v>73</v>
      </c>
      <c r="H229" s="231" t="s">
        <v>69</v>
      </c>
      <c r="I229" s="231" t="s">
        <v>76</v>
      </c>
      <c r="J229" s="231" t="s">
        <v>75</v>
      </c>
      <c r="L229" s="231" t="s">
        <v>78</v>
      </c>
      <c r="M229" s="231" t="s">
        <v>515</v>
      </c>
      <c r="N229" s="231" t="s">
        <v>516</v>
      </c>
      <c r="O229" s="232" t="s">
        <v>517</v>
      </c>
      <c r="R229" s="231" t="s">
        <v>564</v>
      </c>
      <c r="S229" s="231" t="s">
        <v>565</v>
      </c>
      <c r="T229" s="231" t="s">
        <v>574</v>
      </c>
      <c r="U229" s="231" t="s">
        <v>572</v>
      </c>
      <c r="V229" s="231" t="s">
        <v>568</v>
      </c>
      <c r="W229" s="231" t="s">
        <v>567</v>
      </c>
      <c r="X229" s="231" t="s">
        <v>566</v>
      </c>
      <c r="Y229" s="231" t="s">
        <v>571</v>
      </c>
      <c r="AA229" s="231">
        <f t="shared" si="272"/>
        <v>0</v>
      </c>
      <c r="AB229" s="231">
        <f t="shared" si="273"/>
        <v>0</v>
      </c>
      <c r="AC229" s="231">
        <f t="shared" si="274"/>
        <v>0</v>
      </c>
      <c r="AD229" s="231">
        <f t="shared" si="275"/>
        <v>1</v>
      </c>
      <c r="AE229" s="231">
        <f t="shared" si="276"/>
        <v>1</v>
      </c>
      <c r="AF229" s="231">
        <f t="shared" si="277"/>
        <v>1</v>
      </c>
      <c r="AG229" s="231">
        <f t="shared" si="278"/>
        <v>0</v>
      </c>
      <c r="AH229" s="231">
        <f t="shared" si="279"/>
        <v>0</v>
      </c>
      <c r="AI229" s="231">
        <f t="shared" si="280"/>
        <v>1</v>
      </c>
      <c r="AJ229" s="231">
        <f t="shared" si="281"/>
        <v>1</v>
      </c>
      <c r="AK229" s="231">
        <f t="shared" si="282"/>
        <v>0</v>
      </c>
      <c r="AL229" s="231">
        <f t="shared" si="283"/>
        <v>0</v>
      </c>
      <c r="AM229" s="231">
        <f t="shared" si="284"/>
        <v>5</v>
      </c>
    </row>
    <row r="230" spans="4:39" x14ac:dyDescent="0.25">
      <c r="D230" s="231">
        <v>72</v>
      </c>
      <c r="F230" s="231" t="s">
        <v>73</v>
      </c>
      <c r="H230" s="231" t="s">
        <v>69</v>
      </c>
      <c r="I230" s="231" t="s">
        <v>76</v>
      </c>
      <c r="J230" s="231" t="s">
        <v>75</v>
      </c>
      <c r="K230" s="231" t="s">
        <v>77</v>
      </c>
      <c r="N230" s="231" t="s">
        <v>516</v>
      </c>
      <c r="O230" s="232" t="s">
        <v>517</v>
      </c>
      <c r="P230" s="231" t="s">
        <v>70</v>
      </c>
      <c r="R230" s="231" t="s">
        <v>564</v>
      </c>
      <c r="S230" s="231" t="s">
        <v>569</v>
      </c>
      <c r="T230" s="231" t="s">
        <v>574</v>
      </c>
      <c r="U230" s="231" t="s">
        <v>572</v>
      </c>
      <c r="V230" s="231" t="s">
        <v>565</v>
      </c>
      <c r="W230" s="231" t="s">
        <v>567</v>
      </c>
      <c r="X230" s="231" t="s">
        <v>570</v>
      </c>
      <c r="Y230" s="231" t="s">
        <v>571</v>
      </c>
      <c r="AA230" s="231">
        <f t="shared" si="272"/>
        <v>0</v>
      </c>
      <c r="AB230" s="231">
        <f t="shared" si="273"/>
        <v>0</v>
      </c>
      <c r="AC230" s="231">
        <f t="shared" si="274"/>
        <v>0</v>
      </c>
      <c r="AD230" s="231">
        <f t="shared" si="275"/>
        <v>1</v>
      </c>
      <c r="AE230" s="231">
        <f t="shared" si="276"/>
        <v>1</v>
      </c>
      <c r="AF230" s="231">
        <f t="shared" si="277"/>
        <v>1</v>
      </c>
      <c r="AG230" s="231">
        <f t="shared" si="278"/>
        <v>1</v>
      </c>
      <c r="AH230" s="231">
        <f t="shared" si="279"/>
        <v>0</v>
      </c>
      <c r="AI230" s="231">
        <f t="shared" si="280"/>
        <v>0</v>
      </c>
      <c r="AJ230" s="231">
        <f t="shared" si="281"/>
        <v>1</v>
      </c>
      <c r="AK230" s="231">
        <f t="shared" si="282"/>
        <v>0</v>
      </c>
      <c r="AL230" s="231">
        <f t="shared" si="283"/>
        <v>1</v>
      </c>
      <c r="AM230" s="231">
        <f t="shared" si="284"/>
        <v>6</v>
      </c>
    </row>
    <row r="231" spans="4:39" x14ac:dyDescent="0.25">
      <c r="D231" s="231">
        <v>73</v>
      </c>
      <c r="F231" s="231" t="s">
        <v>73</v>
      </c>
      <c r="H231" s="231" t="s">
        <v>69</v>
      </c>
      <c r="I231" s="231" t="s">
        <v>76</v>
      </c>
      <c r="J231" s="231" t="s">
        <v>75</v>
      </c>
      <c r="K231" s="231" t="s">
        <v>77</v>
      </c>
      <c r="M231" s="231" t="s">
        <v>515</v>
      </c>
      <c r="O231" s="232" t="s">
        <v>517</v>
      </c>
      <c r="P231" s="231" t="s">
        <v>70</v>
      </c>
      <c r="R231" s="231" t="s">
        <v>564</v>
      </c>
      <c r="S231" s="231" t="s">
        <v>569</v>
      </c>
      <c r="T231" s="231" t="s">
        <v>574</v>
      </c>
      <c r="U231" s="231" t="s">
        <v>572</v>
      </c>
      <c r="V231" s="231" t="s">
        <v>566</v>
      </c>
      <c r="W231" s="231" t="s">
        <v>567</v>
      </c>
      <c r="X231" s="231" t="s">
        <v>570</v>
      </c>
      <c r="Y231" s="231" t="s">
        <v>571</v>
      </c>
      <c r="AA231" s="231">
        <f t="shared" si="272"/>
        <v>0</v>
      </c>
      <c r="AB231" s="231">
        <f t="shared" si="273"/>
        <v>0</v>
      </c>
      <c r="AC231" s="231">
        <f t="shared" si="274"/>
        <v>0</v>
      </c>
      <c r="AD231" s="231">
        <f t="shared" si="275"/>
        <v>1</v>
      </c>
      <c r="AE231" s="231">
        <f t="shared" si="276"/>
        <v>1</v>
      </c>
      <c r="AF231" s="231">
        <f t="shared" si="277"/>
        <v>1</v>
      </c>
      <c r="AG231" s="231">
        <f t="shared" si="278"/>
        <v>1</v>
      </c>
      <c r="AH231" s="231">
        <f t="shared" si="279"/>
        <v>0</v>
      </c>
      <c r="AI231" s="231">
        <f t="shared" si="280"/>
        <v>1</v>
      </c>
      <c r="AJ231" s="231">
        <f t="shared" si="281"/>
        <v>0</v>
      </c>
      <c r="AK231" s="231">
        <f t="shared" si="282"/>
        <v>0</v>
      </c>
      <c r="AL231" s="231">
        <f t="shared" si="283"/>
        <v>1</v>
      </c>
      <c r="AM231" s="231">
        <f t="shared" si="284"/>
        <v>6</v>
      </c>
    </row>
    <row r="232" spans="4:39" x14ac:dyDescent="0.25">
      <c r="D232" s="231">
        <v>74</v>
      </c>
      <c r="F232" s="231" t="s">
        <v>73</v>
      </c>
      <c r="H232" s="231" t="s">
        <v>69</v>
      </c>
      <c r="I232" s="231" t="s">
        <v>76</v>
      </c>
      <c r="J232" s="231" t="s">
        <v>75</v>
      </c>
      <c r="K232" s="231" t="s">
        <v>77</v>
      </c>
      <c r="M232" s="231" t="s">
        <v>515</v>
      </c>
      <c r="N232" s="231" t="s">
        <v>516</v>
      </c>
      <c r="P232" s="231" t="s">
        <v>70</v>
      </c>
      <c r="R232" s="231" t="s">
        <v>564</v>
      </c>
      <c r="S232" s="231" t="s">
        <v>569</v>
      </c>
      <c r="T232" s="231" t="s">
        <v>574</v>
      </c>
      <c r="U232" s="231" t="s">
        <v>572</v>
      </c>
      <c r="V232" s="231" t="s">
        <v>565</v>
      </c>
      <c r="W232" s="231" t="s">
        <v>567</v>
      </c>
      <c r="X232" s="231" t="s">
        <v>570</v>
      </c>
      <c r="Y232" s="231" t="s">
        <v>566</v>
      </c>
      <c r="AA232" s="231">
        <f t="shared" si="272"/>
        <v>0</v>
      </c>
      <c r="AB232" s="231">
        <f t="shared" si="273"/>
        <v>0</v>
      </c>
      <c r="AC232" s="231">
        <f t="shared" si="274"/>
        <v>0</v>
      </c>
      <c r="AD232" s="231">
        <f t="shared" si="275"/>
        <v>1</v>
      </c>
      <c r="AE232" s="231">
        <f t="shared" si="276"/>
        <v>1</v>
      </c>
      <c r="AF232" s="231">
        <f t="shared" si="277"/>
        <v>1</v>
      </c>
      <c r="AG232" s="231">
        <f t="shared" si="278"/>
        <v>1</v>
      </c>
      <c r="AH232" s="231">
        <f t="shared" si="279"/>
        <v>0</v>
      </c>
      <c r="AI232" s="231">
        <f t="shared" si="280"/>
        <v>1</v>
      </c>
      <c r="AJ232" s="231">
        <f t="shared" si="281"/>
        <v>1</v>
      </c>
      <c r="AK232" s="231">
        <f t="shared" si="282"/>
        <v>0</v>
      </c>
      <c r="AL232" s="231">
        <f t="shared" si="283"/>
        <v>1</v>
      </c>
      <c r="AM232" s="231">
        <f t="shared" si="284"/>
        <v>7</v>
      </c>
    </row>
    <row r="233" spans="4:39" x14ac:dyDescent="0.25">
      <c r="D233" s="231">
        <v>75</v>
      </c>
      <c r="F233" s="231" t="s">
        <v>73</v>
      </c>
      <c r="H233" s="231" t="s">
        <v>69</v>
      </c>
      <c r="I233" s="231" t="s">
        <v>76</v>
      </c>
      <c r="J233" s="231" t="s">
        <v>75</v>
      </c>
      <c r="K233" s="231" t="s">
        <v>77</v>
      </c>
      <c r="M233" s="231" t="s">
        <v>515</v>
      </c>
      <c r="N233" s="231" t="s">
        <v>516</v>
      </c>
      <c r="O233" s="232" t="s">
        <v>517</v>
      </c>
      <c r="R233" s="231" t="s">
        <v>564</v>
      </c>
      <c r="S233" s="231" t="s">
        <v>569</v>
      </c>
      <c r="T233" s="231" t="s">
        <v>574</v>
      </c>
      <c r="U233" s="231" t="s">
        <v>572</v>
      </c>
      <c r="V233" s="231" t="s">
        <v>565</v>
      </c>
      <c r="W233" s="231" t="s">
        <v>567</v>
      </c>
      <c r="X233" s="231" t="s">
        <v>566</v>
      </c>
      <c r="Y233" s="231" t="s">
        <v>571</v>
      </c>
      <c r="AA233" s="231">
        <f t="shared" si="272"/>
        <v>0</v>
      </c>
      <c r="AB233" s="231">
        <f t="shared" si="273"/>
        <v>0</v>
      </c>
      <c r="AC233" s="231">
        <f t="shared" si="274"/>
        <v>0</v>
      </c>
      <c r="AD233" s="231">
        <f t="shared" si="275"/>
        <v>1</v>
      </c>
      <c r="AE233" s="231">
        <f t="shared" si="276"/>
        <v>1</v>
      </c>
      <c r="AF233" s="231">
        <f t="shared" si="277"/>
        <v>1</v>
      </c>
      <c r="AG233" s="231">
        <f t="shared" si="278"/>
        <v>1</v>
      </c>
      <c r="AH233" s="231">
        <f t="shared" si="279"/>
        <v>0</v>
      </c>
      <c r="AI233" s="231">
        <f t="shared" si="280"/>
        <v>1</v>
      </c>
      <c r="AJ233" s="231">
        <f t="shared" si="281"/>
        <v>1</v>
      </c>
      <c r="AK233" s="231">
        <f t="shared" si="282"/>
        <v>0</v>
      </c>
      <c r="AL233" s="231">
        <f t="shared" si="283"/>
        <v>0</v>
      </c>
      <c r="AM233" s="231">
        <f t="shared" si="284"/>
        <v>6</v>
      </c>
    </row>
    <row r="234" spans="4:39" x14ac:dyDescent="0.25">
      <c r="D234" s="231">
        <v>76</v>
      </c>
      <c r="F234" s="231" t="s">
        <v>73</v>
      </c>
      <c r="H234" s="231" t="s">
        <v>69</v>
      </c>
      <c r="I234" s="231" t="s">
        <v>76</v>
      </c>
      <c r="J234" s="231" t="s">
        <v>75</v>
      </c>
      <c r="K234" s="231" t="s">
        <v>77</v>
      </c>
      <c r="L234" s="231" t="s">
        <v>78</v>
      </c>
      <c r="O234" s="232" t="s">
        <v>517</v>
      </c>
      <c r="P234" s="231" t="s">
        <v>70</v>
      </c>
      <c r="R234" s="231" t="s">
        <v>564</v>
      </c>
      <c r="S234" s="231" t="s">
        <v>569</v>
      </c>
      <c r="T234" s="231" t="s">
        <v>574</v>
      </c>
      <c r="U234" s="231" t="s">
        <v>572</v>
      </c>
      <c r="V234" s="231" t="s">
        <v>568</v>
      </c>
      <c r="W234" s="231" t="s">
        <v>567</v>
      </c>
      <c r="X234" s="231" t="s">
        <v>570</v>
      </c>
      <c r="Y234" s="231" t="s">
        <v>571</v>
      </c>
      <c r="AA234" s="231">
        <f t="shared" si="272"/>
        <v>0</v>
      </c>
      <c r="AB234" s="231">
        <f t="shared" si="273"/>
        <v>0</v>
      </c>
      <c r="AC234" s="231">
        <f t="shared" si="274"/>
        <v>0</v>
      </c>
      <c r="AD234" s="231">
        <f t="shared" si="275"/>
        <v>1</v>
      </c>
      <c r="AE234" s="231">
        <f t="shared" si="276"/>
        <v>1</v>
      </c>
      <c r="AF234" s="231">
        <f t="shared" si="277"/>
        <v>1</v>
      </c>
      <c r="AG234" s="231">
        <f t="shared" si="278"/>
        <v>1</v>
      </c>
      <c r="AH234" s="231">
        <f t="shared" si="279"/>
        <v>0</v>
      </c>
      <c r="AI234" s="231">
        <f t="shared" si="280"/>
        <v>0</v>
      </c>
      <c r="AJ234" s="231">
        <f t="shared" si="281"/>
        <v>0</v>
      </c>
      <c r="AK234" s="231">
        <f t="shared" si="282"/>
        <v>0</v>
      </c>
      <c r="AL234" s="231">
        <f t="shared" si="283"/>
        <v>1</v>
      </c>
      <c r="AM234" s="231">
        <f t="shared" si="284"/>
        <v>5</v>
      </c>
    </row>
    <row r="235" spans="4:39" x14ac:dyDescent="0.25">
      <c r="D235" s="231">
        <v>77</v>
      </c>
      <c r="F235" s="231" t="s">
        <v>73</v>
      </c>
      <c r="H235" s="231" t="s">
        <v>69</v>
      </c>
      <c r="I235" s="231" t="s">
        <v>76</v>
      </c>
      <c r="J235" s="231" t="s">
        <v>75</v>
      </c>
      <c r="K235" s="231" t="s">
        <v>77</v>
      </c>
      <c r="L235" s="231" t="s">
        <v>78</v>
      </c>
      <c r="N235" s="231" t="s">
        <v>516</v>
      </c>
      <c r="P235" s="231" t="s">
        <v>70</v>
      </c>
      <c r="R235" s="231" t="s">
        <v>568</v>
      </c>
      <c r="S235" s="231" t="s">
        <v>569</v>
      </c>
      <c r="T235" s="231" t="s">
        <v>574</v>
      </c>
      <c r="U235" s="231" t="s">
        <v>572</v>
      </c>
      <c r="V235" s="231" t="s">
        <v>565</v>
      </c>
      <c r="W235" s="231" t="s">
        <v>567</v>
      </c>
      <c r="X235" s="231" t="s">
        <v>570</v>
      </c>
      <c r="Y235" s="231" t="s">
        <v>564</v>
      </c>
      <c r="AA235" s="231">
        <f t="shared" si="272"/>
        <v>0</v>
      </c>
      <c r="AB235" s="231">
        <f t="shared" si="273"/>
        <v>0</v>
      </c>
      <c r="AC235" s="231">
        <f t="shared" si="274"/>
        <v>0</v>
      </c>
      <c r="AD235" s="231">
        <f t="shared" si="275"/>
        <v>1</v>
      </c>
      <c r="AE235" s="231">
        <f t="shared" si="276"/>
        <v>1</v>
      </c>
      <c r="AF235" s="231">
        <f t="shared" si="277"/>
        <v>1</v>
      </c>
      <c r="AG235" s="231">
        <f t="shared" si="278"/>
        <v>1</v>
      </c>
      <c r="AH235" s="231">
        <f t="shared" si="279"/>
        <v>0</v>
      </c>
      <c r="AI235" s="231">
        <f t="shared" si="280"/>
        <v>0</v>
      </c>
      <c r="AJ235" s="231">
        <f t="shared" si="281"/>
        <v>1</v>
      </c>
      <c r="AK235" s="231">
        <f t="shared" si="282"/>
        <v>0</v>
      </c>
      <c r="AL235" s="231">
        <f t="shared" si="283"/>
        <v>1</v>
      </c>
      <c r="AM235" s="231">
        <f t="shared" si="284"/>
        <v>6</v>
      </c>
    </row>
    <row r="236" spans="4:39" x14ac:dyDescent="0.25">
      <c r="D236" s="231">
        <v>78</v>
      </c>
      <c r="F236" s="231" t="s">
        <v>73</v>
      </c>
      <c r="H236" s="231" t="s">
        <v>69</v>
      </c>
      <c r="I236" s="231" t="s">
        <v>76</v>
      </c>
      <c r="J236" s="231" t="s">
        <v>75</v>
      </c>
      <c r="K236" s="231" t="s">
        <v>77</v>
      </c>
      <c r="L236" s="231" t="s">
        <v>78</v>
      </c>
      <c r="N236" s="231" t="s">
        <v>516</v>
      </c>
      <c r="O236" s="232" t="s">
        <v>517</v>
      </c>
      <c r="R236" s="231" t="s">
        <v>568</v>
      </c>
      <c r="S236" s="231" t="s">
        <v>569</v>
      </c>
      <c r="T236" s="231" t="s">
        <v>574</v>
      </c>
      <c r="U236" s="231" t="s">
        <v>572</v>
      </c>
      <c r="V236" s="231" t="s">
        <v>565</v>
      </c>
      <c r="W236" s="231" t="s">
        <v>567</v>
      </c>
      <c r="X236" s="231" t="s">
        <v>564</v>
      </c>
      <c r="Y236" s="231" t="s">
        <v>571</v>
      </c>
      <c r="AA236" s="231">
        <f t="shared" si="272"/>
        <v>0</v>
      </c>
      <c r="AB236" s="231">
        <f t="shared" si="273"/>
        <v>0</v>
      </c>
      <c r="AC236" s="231">
        <f t="shared" si="274"/>
        <v>0</v>
      </c>
      <c r="AD236" s="231">
        <f t="shared" si="275"/>
        <v>1</v>
      </c>
      <c r="AE236" s="231">
        <f t="shared" si="276"/>
        <v>1</v>
      </c>
      <c r="AF236" s="231">
        <f t="shared" si="277"/>
        <v>1</v>
      </c>
      <c r="AG236" s="231">
        <f t="shared" si="278"/>
        <v>1</v>
      </c>
      <c r="AH236" s="231">
        <f t="shared" si="279"/>
        <v>0</v>
      </c>
      <c r="AI236" s="231">
        <f t="shared" si="280"/>
        <v>0</v>
      </c>
      <c r="AJ236" s="231">
        <f t="shared" si="281"/>
        <v>1</v>
      </c>
      <c r="AK236" s="231">
        <f t="shared" si="282"/>
        <v>0</v>
      </c>
      <c r="AL236" s="231">
        <f t="shared" si="283"/>
        <v>0</v>
      </c>
      <c r="AM236" s="231">
        <f t="shared" si="284"/>
        <v>5</v>
      </c>
    </row>
    <row r="237" spans="4:39" x14ac:dyDescent="0.25">
      <c r="D237" s="231">
        <v>79</v>
      </c>
      <c r="F237" s="231" t="s">
        <v>73</v>
      </c>
      <c r="H237" s="231" t="s">
        <v>69</v>
      </c>
      <c r="I237" s="231" t="s">
        <v>76</v>
      </c>
      <c r="J237" s="231" t="s">
        <v>75</v>
      </c>
      <c r="K237" s="231" t="s">
        <v>77</v>
      </c>
      <c r="L237" s="231" t="s">
        <v>78</v>
      </c>
      <c r="M237" s="231" t="s">
        <v>515</v>
      </c>
      <c r="P237" s="231" t="s">
        <v>70</v>
      </c>
      <c r="R237" s="231" t="s">
        <v>564</v>
      </c>
      <c r="S237" s="231" t="s">
        <v>569</v>
      </c>
      <c r="T237" s="231" t="s">
        <v>574</v>
      </c>
      <c r="U237" s="231" t="s">
        <v>572</v>
      </c>
      <c r="V237" s="231" t="s">
        <v>568</v>
      </c>
      <c r="W237" s="231" t="s">
        <v>567</v>
      </c>
      <c r="X237" s="231" t="s">
        <v>570</v>
      </c>
      <c r="Y237" s="231" t="s">
        <v>566</v>
      </c>
      <c r="AA237" s="231">
        <f t="shared" si="272"/>
        <v>0</v>
      </c>
      <c r="AB237" s="231">
        <f t="shared" si="273"/>
        <v>0</v>
      </c>
      <c r="AC237" s="231">
        <f t="shared" si="274"/>
        <v>0</v>
      </c>
      <c r="AD237" s="231">
        <f t="shared" si="275"/>
        <v>1</v>
      </c>
      <c r="AE237" s="231">
        <f t="shared" si="276"/>
        <v>1</v>
      </c>
      <c r="AF237" s="231">
        <f t="shared" si="277"/>
        <v>1</v>
      </c>
      <c r="AG237" s="231">
        <f t="shared" si="278"/>
        <v>1</v>
      </c>
      <c r="AH237" s="231">
        <f t="shared" si="279"/>
        <v>0</v>
      </c>
      <c r="AI237" s="231">
        <f t="shared" si="280"/>
        <v>1</v>
      </c>
      <c r="AJ237" s="231">
        <f t="shared" si="281"/>
        <v>0</v>
      </c>
      <c r="AK237" s="231">
        <f t="shared" si="282"/>
        <v>0</v>
      </c>
      <c r="AL237" s="231">
        <f t="shared" si="283"/>
        <v>1</v>
      </c>
      <c r="AM237" s="231">
        <f t="shared" si="284"/>
        <v>6</v>
      </c>
    </row>
    <row r="238" spans="4:39" x14ac:dyDescent="0.25">
      <c r="D238" s="231">
        <v>80</v>
      </c>
      <c r="F238" s="231" t="s">
        <v>73</v>
      </c>
      <c r="H238" s="231" t="s">
        <v>69</v>
      </c>
      <c r="I238" s="231" t="s">
        <v>76</v>
      </c>
      <c r="J238" s="231" t="s">
        <v>75</v>
      </c>
      <c r="K238" s="231" t="s">
        <v>77</v>
      </c>
      <c r="L238" s="231" t="s">
        <v>78</v>
      </c>
      <c r="M238" s="231" t="s">
        <v>515</v>
      </c>
      <c r="O238" s="232" t="s">
        <v>517</v>
      </c>
      <c r="R238" s="231" t="s">
        <v>564</v>
      </c>
      <c r="S238" s="231" t="s">
        <v>569</v>
      </c>
      <c r="T238" s="231" t="s">
        <v>574</v>
      </c>
      <c r="U238" s="231" t="s">
        <v>572</v>
      </c>
      <c r="V238" s="231" t="s">
        <v>568</v>
      </c>
      <c r="W238" s="231" t="s">
        <v>567</v>
      </c>
      <c r="X238" s="231" t="s">
        <v>566</v>
      </c>
      <c r="Y238" s="231" t="s">
        <v>571</v>
      </c>
      <c r="AA238" s="231">
        <f t="shared" si="272"/>
        <v>0</v>
      </c>
      <c r="AB238" s="231">
        <f t="shared" si="273"/>
        <v>0</v>
      </c>
      <c r="AC238" s="231">
        <f t="shared" si="274"/>
        <v>0</v>
      </c>
      <c r="AD238" s="231">
        <f t="shared" si="275"/>
        <v>1</v>
      </c>
      <c r="AE238" s="231">
        <f t="shared" si="276"/>
        <v>1</v>
      </c>
      <c r="AF238" s="231">
        <f t="shared" si="277"/>
        <v>1</v>
      </c>
      <c r="AG238" s="231">
        <f t="shared" si="278"/>
        <v>1</v>
      </c>
      <c r="AH238" s="231">
        <f t="shared" si="279"/>
        <v>0</v>
      </c>
      <c r="AI238" s="231">
        <f t="shared" si="280"/>
        <v>1</v>
      </c>
      <c r="AJ238" s="231">
        <f t="shared" si="281"/>
        <v>0</v>
      </c>
      <c r="AK238" s="231">
        <f t="shared" si="282"/>
        <v>0</v>
      </c>
      <c r="AL238" s="231">
        <f t="shared" si="283"/>
        <v>0</v>
      </c>
      <c r="AM238" s="231">
        <f t="shared" si="284"/>
        <v>5</v>
      </c>
    </row>
    <row r="239" spans="4:39" x14ac:dyDescent="0.25">
      <c r="D239" s="231">
        <v>81</v>
      </c>
      <c r="F239" s="231" t="s">
        <v>73</v>
      </c>
      <c r="H239" s="231" t="s">
        <v>69</v>
      </c>
      <c r="I239" s="231" t="s">
        <v>76</v>
      </c>
      <c r="J239" s="231" t="s">
        <v>75</v>
      </c>
      <c r="K239" s="231" t="s">
        <v>77</v>
      </c>
      <c r="L239" s="231" t="s">
        <v>78</v>
      </c>
      <c r="M239" s="231" t="s">
        <v>515</v>
      </c>
      <c r="N239" s="231" t="s">
        <v>516</v>
      </c>
      <c r="R239" s="231" t="s">
        <v>568</v>
      </c>
      <c r="S239" s="231" t="s">
        <v>569</v>
      </c>
      <c r="T239" s="231" t="s">
        <v>574</v>
      </c>
      <c r="U239" s="231" t="s">
        <v>572</v>
      </c>
      <c r="V239" s="231" t="s">
        <v>565</v>
      </c>
      <c r="W239" s="231" t="s">
        <v>567</v>
      </c>
      <c r="X239" s="231" t="s">
        <v>564</v>
      </c>
      <c r="Y239" s="231" t="s">
        <v>566</v>
      </c>
      <c r="AA239" s="231">
        <f t="shared" si="272"/>
        <v>0</v>
      </c>
      <c r="AB239" s="231">
        <f t="shared" si="273"/>
        <v>0</v>
      </c>
      <c r="AC239" s="231">
        <f t="shared" si="274"/>
        <v>0</v>
      </c>
      <c r="AD239" s="231">
        <f t="shared" si="275"/>
        <v>1</v>
      </c>
      <c r="AE239" s="231">
        <f t="shared" si="276"/>
        <v>1</v>
      </c>
      <c r="AF239" s="231">
        <f t="shared" si="277"/>
        <v>1</v>
      </c>
      <c r="AG239" s="231">
        <f t="shared" si="278"/>
        <v>1</v>
      </c>
      <c r="AH239" s="231">
        <f t="shared" si="279"/>
        <v>0</v>
      </c>
      <c r="AI239" s="231">
        <f t="shared" si="280"/>
        <v>1</v>
      </c>
      <c r="AJ239" s="231">
        <f t="shared" si="281"/>
        <v>1</v>
      </c>
      <c r="AK239" s="231">
        <f t="shared" si="282"/>
        <v>0</v>
      </c>
      <c r="AL239" s="231">
        <f t="shared" si="283"/>
        <v>0</v>
      </c>
      <c r="AM239" s="231">
        <f t="shared" si="284"/>
        <v>6</v>
      </c>
    </row>
    <row r="240" spans="4:39" x14ac:dyDescent="0.25">
      <c r="D240" s="231">
        <v>82</v>
      </c>
      <c r="F240" s="231" t="s">
        <v>73</v>
      </c>
      <c r="G240" s="231" t="s">
        <v>74</v>
      </c>
      <c r="K240" s="231" t="s">
        <v>77</v>
      </c>
      <c r="L240" s="231" t="s">
        <v>78</v>
      </c>
      <c r="M240" s="231" t="s">
        <v>515</v>
      </c>
      <c r="N240" s="231" t="s">
        <v>516</v>
      </c>
      <c r="O240" s="232" t="s">
        <v>517</v>
      </c>
      <c r="P240" s="231" t="s">
        <v>70</v>
      </c>
      <c r="R240" s="231" t="s">
        <v>568</v>
      </c>
      <c r="S240" s="231" t="s">
        <v>565</v>
      </c>
      <c r="T240" s="231" t="s">
        <v>574</v>
      </c>
      <c r="U240" s="231" t="s">
        <v>573</v>
      </c>
      <c r="V240" s="231" t="s">
        <v>566</v>
      </c>
      <c r="W240" s="231" t="s">
        <v>569</v>
      </c>
      <c r="X240" s="231" t="s">
        <v>570</v>
      </c>
      <c r="Y240" s="231" t="s">
        <v>571</v>
      </c>
      <c r="AA240" s="231">
        <f t="shared" si="272"/>
        <v>0</v>
      </c>
      <c r="AB240" s="231">
        <f t="shared" si="273"/>
        <v>0</v>
      </c>
      <c r="AC240" s="231">
        <f t="shared" si="274"/>
        <v>1</v>
      </c>
      <c r="AD240" s="231">
        <f t="shared" si="275"/>
        <v>0</v>
      </c>
      <c r="AE240" s="231">
        <f t="shared" si="276"/>
        <v>0</v>
      </c>
      <c r="AF240" s="231">
        <f t="shared" si="277"/>
        <v>0</v>
      </c>
      <c r="AG240" s="231">
        <f t="shared" si="278"/>
        <v>1</v>
      </c>
      <c r="AH240" s="231">
        <f t="shared" si="279"/>
        <v>0</v>
      </c>
      <c r="AI240" s="231">
        <f t="shared" si="280"/>
        <v>1</v>
      </c>
      <c r="AJ240" s="231">
        <f t="shared" si="281"/>
        <v>1</v>
      </c>
      <c r="AK240" s="231">
        <f t="shared" si="282"/>
        <v>0</v>
      </c>
      <c r="AL240" s="231">
        <f t="shared" si="283"/>
        <v>1</v>
      </c>
      <c r="AM240" s="231">
        <f t="shared" si="284"/>
        <v>5</v>
      </c>
    </row>
    <row r="241" spans="4:39" x14ac:dyDescent="0.25">
      <c r="D241" s="231">
        <v>83</v>
      </c>
      <c r="F241" s="231" t="s">
        <v>73</v>
      </c>
      <c r="G241" s="231" t="s">
        <v>74</v>
      </c>
      <c r="J241" s="231" t="s">
        <v>75</v>
      </c>
      <c r="L241" s="231" t="s">
        <v>78</v>
      </c>
      <c r="M241" s="231" t="s">
        <v>515</v>
      </c>
      <c r="N241" s="231" t="s">
        <v>516</v>
      </c>
      <c r="O241" s="232" t="s">
        <v>517</v>
      </c>
      <c r="P241" s="231" t="s">
        <v>70</v>
      </c>
      <c r="R241" s="231" t="s">
        <v>568</v>
      </c>
      <c r="S241" s="231" t="s">
        <v>565</v>
      </c>
      <c r="T241" s="231" t="s">
        <v>574</v>
      </c>
      <c r="U241" s="231" t="s">
        <v>573</v>
      </c>
      <c r="V241" s="231" t="s">
        <v>566</v>
      </c>
      <c r="W241" s="231" t="s">
        <v>567</v>
      </c>
      <c r="X241" s="231" t="s">
        <v>570</v>
      </c>
      <c r="Y241" s="231" t="s">
        <v>571</v>
      </c>
      <c r="AA241" s="231">
        <f t="shared" si="272"/>
        <v>0</v>
      </c>
      <c r="AB241" s="231">
        <f t="shared" si="273"/>
        <v>0</v>
      </c>
      <c r="AC241" s="231">
        <f t="shared" si="274"/>
        <v>1</v>
      </c>
      <c r="AD241" s="231">
        <f t="shared" si="275"/>
        <v>0</v>
      </c>
      <c r="AE241" s="231">
        <f t="shared" si="276"/>
        <v>0</v>
      </c>
      <c r="AF241" s="231">
        <f t="shared" si="277"/>
        <v>1</v>
      </c>
      <c r="AG241" s="231">
        <f t="shared" si="278"/>
        <v>0</v>
      </c>
      <c r="AH241" s="231">
        <f t="shared" si="279"/>
        <v>0</v>
      </c>
      <c r="AI241" s="231">
        <f t="shared" si="280"/>
        <v>1</v>
      </c>
      <c r="AJ241" s="231">
        <f t="shared" si="281"/>
        <v>1</v>
      </c>
      <c r="AK241" s="231">
        <f t="shared" si="282"/>
        <v>0</v>
      </c>
      <c r="AL241" s="231">
        <f t="shared" si="283"/>
        <v>1</v>
      </c>
      <c r="AM241" s="231">
        <f t="shared" si="284"/>
        <v>5</v>
      </c>
    </row>
    <row r="242" spans="4:39" x14ac:dyDescent="0.25">
      <c r="D242" s="231">
        <v>84</v>
      </c>
      <c r="F242" s="231" t="s">
        <v>73</v>
      </c>
      <c r="G242" s="231" t="s">
        <v>74</v>
      </c>
      <c r="J242" s="231" t="s">
        <v>75</v>
      </c>
      <c r="K242" s="231" t="s">
        <v>77</v>
      </c>
      <c r="M242" s="231" t="s">
        <v>515</v>
      </c>
      <c r="N242" s="231" t="s">
        <v>516</v>
      </c>
      <c r="O242" s="232" t="s">
        <v>517</v>
      </c>
      <c r="P242" s="231" t="s">
        <v>70</v>
      </c>
      <c r="R242" s="231" t="s">
        <v>566</v>
      </c>
      <c r="S242" s="231" t="s">
        <v>569</v>
      </c>
      <c r="T242" s="231" t="s">
        <v>574</v>
      </c>
      <c r="U242" s="231" t="s">
        <v>573</v>
      </c>
      <c r="V242" s="231" t="s">
        <v>565</v>
      </c>
      <c r="W242" s="231" t="s">
        <v>567</v>
      </c>
      <c r="X242" s="231" t="s">
        <v>570</v>
      </c>
      <c r="Y242" s="231" t="s">
        <v>571</v>
      </c>
      <c r="AA242" s="231">
        <f t="shared" si="272"/>
        <v>0</v>
      </c>
      <c r="AB242" s="231">
        <f t="shared" si="273"/>
        <v>0</v>
      </c>
      <c r="AC242" s="231">
        <f t="shared" si="274"/>
        <v>1</v>
      </c>
      <c r="AD242" s="231">
        <f t="shared" si="275"/>
        <v>0</v>
      </c>
      <c r="AE242" s="231">
        <f t="shared" si="276"/>
        <v>0</v>
      </c>
      <c r="AF242" s="231">
        <f t="shared" si="277"/>
        <v>1</v>
      </c>
      <c r="AG242" s="231">
        <f t="shared" si="278"/>
        <v>1</v>
      </c>
      <c r="AH242" s="231">
        <f t="shared" si="279"/>
        <v>0</v>
      </c>
      <c r="AI242" s="231">
        <f t="shared" si="280"/>
        <v>1</v>
      </c>
      <c r="AJ242" s="231">
        <f t="shared" si="281"/>
        <v>1</v>
      </c>
      <c r="AK242" s="231">
        <f t="shared" si="282"/>
        <v>0</v>
      </c>
      <c r="AL242" s="231">
        <f t="shared" si="283"/>
        <v>1</v>
      </c>
      <c r="AM242" s="231">
        <f t="shared" si="284"/>
        <v>6</v>
      </c>
    </row>
    <row r="243" spans="4:39" x14ac:dyDescent="0.25">
      <c r="D243" s="231">
        <v>85</v>
      </c>
      <c r="F243" s="231" t="s">
        <v>73</v>
      </c>
      <c r="G243" s="231" t="s">
        <v>74</v>
      </c>
      <c r="J243" s="231" t="s">
        <v>75</v>
      </c>
      <c r="K243" s="231" t="s">
        <v>77</v>
      </c>
      <c r="L243" s="231" t="s">
        <v>78</v>
      </c>
      <c r="N243" s="231" t="s">
        <v>516</v>
      </c>
      <c r="O243" s="232" t="s">
        <v>517</v>
      </c>
      <c r="P243" s="231" t="s">
        <v>70</v>
      </c>
      <c r="R243" s="231" t="s">
        <v>568</v>
      </c>
      <c r="S243" s="231" t="s">
        <v>569</v>
      </c>
      <c r="T243" s="231" t="s">
        <v>574</v>
      </c>
      <c r="U243" s="231" t="s">
        <v>573</v>
      </c>
      <c r="V243" s="231" t="s">
        <v>565</v>
      </c>
      <c r="W243" s="231" t="s">
        <v>567</v>
      </c>
      <c r="X243" s="231" t="s">
        <v>570</v>
      </c>
      <c r="Y243" s="231" t="s">
        <v>571</v>
      </c>
      <c r="AA243" s="231">
        <f t="shared" si="272"/>
        <v>0</v>
      </c>
      <c r="AB243" s="231">
        <f t="shared" si="273"/>
        <v>0</v>
      </c>
      <c r="AC243" s="231">
        <f t="shared" si="274"/>
        <v>1</v>
      </c>
      <c r="AD243" s="231">
        <f t="shared" si="275"/>
        <v>0</v>
      </c>
      <c r="AE243" s="231">
        <f t="shared" si="276"/>
        <v>0</v>
      </c>
      <c r="AF243" s="231">
        <f t="shared" si="277"/>
        <v>1</v>
      </c>
      <c r="AG243" s="231">
        <f t="shared" si="278"/>
        <v>1</v>
      </c>
      <c r="AH243" s="231">
        <f t="shared" si="279"/>
        <v>0</v>
      </c>
      <c r="AI243" s="231">
        <f t="shared" si="280"/>
        <v>0</v>
      </c>
      <c r="AJ243" s="231">
        <f t="shared" si="281"/>
        <v>1</v>
      </c>
      <c r="AK243" s="231">
        <f t="shared" si="282"/>
        <v>0</v>
      </c>
      <c r="AL243" s="231">
        <f t="shared" si="283"/>
        <v>1</v>
      </c>
      <c r="AM243" s="231">
        <f t="shared" si="284"/>
        <v>5</v>
      </c>
    </row>
    <row r="244" spans="4:39" x14ac:dyDescent="0.25">
      <c r="D244" s="231">
        <v>86</v>
      </c>
      <c r="F244" s="231" t="s">
        <v>73</v>
      </c>
      <c r="G244" s="231" t="s">
        <v>74</v>
      </c>
      <c r="J244" s="231" t="s">
        <v>75</v>
      </c>
      <c r="K244" s="231" t="s">
        <v>77</v>
      </c>
      <c r="L244" s="231" t="s">
        <v>78</v>
      </c>
      <c r="M244" s="231" t="s">
        <v>515</v>
      </c>
      <c r="O244" s="232" t="s">
        <v>517</v>
      </c>
      <c r="P244" s="231" t="s">
        <v>70</v>
      </c>
      <c r="R244" s="231" t="s">
        <v>568</v>
      </c>
      <c r="S244" s="231" t="s">
        <v>569</v>
      </c>
      <c r="T244" s="231" t="s">
        <v>574</v>
      </c>
      <c r="U244" s="231" t="s">
        <v>573</v>
      </c>
      <c r="V244" s="231" t="s">
        <v>566</v>
      </c>
      <c r="W244" s="231" t="s">
        <v>567</v>
      </c>
      <c r="X244" s="231" t="s">
        <v>570</v>
      </c>
      <c r="Y244" s="231" t="s">
        <v>571</v>
      </c>
      <c r="AA244" s="231">
        <f t="shared" si="272"/>
        <v>0</v>
      </c>
      <c r="AB244" s="231">
        <f t="shared" si="273"/>
        <v>0</v>
      </c>
      <c r="AC244" s="231">
        <f t="shared" si="274"/>
        <v>1</v>
      </c>
      <c r="AD244" s="231">
        <f t="shared" si="275"/>
        <v>0</v>
      </c>
      <c r="AE244" s="231">
        <f t="shared" si="276"/>
        <v>0</v>
      </c>
      <c r="AF244" s="231">
        <f t="shared" si="277"/>
        <v>1</v>
      </c>
      <c r="AG244" s="231">
        <f t="shared" si="278"/>
        <v>1</v>
      </c>
      <c r="AH244" s="231">
        <f t="shared" si="279"/>
        <v>0</v>
      </c>
      <c r="AI244" s="231">
        <f t="shared" si="280"/>
        <v>1</v>
      </c>
      <c r="AJ244" s="231">
        <f t="shared" si="281"/>
        <v>0</v>
      </c>
      <c r="AK244" s="231">
        <f t="shared" si="282"/>
        <v>0</v>
      </c>
      <c r="AL244" s="231">
        <f t="shared" si="283"/>
        <v>1</v>
      </c>
      <c r="AM244" s="231">
        <f t="shared" si="284"/>
        <v>5</v>
      </c>
    </row>
    <row r="245" spans="4:39" x14ac:dyDescent="0.25">
      <c r="D245" s="231">
        <v>87</v>
      </c>
      <c r="F245" s="231" t="s">
        <v>73</v>
      </c>
      <c r="G245" s="231" t="s">
        <v>74</v>
      </c>
      <c r="J245" s="231" t="s">
        <v>75</v>
      </c>
      <c r="K245" s="231" t="s">
        <v>77</v>
      </c>
      <c r="L245" s="231" t="s">
        <v>78</v>
      </c>
      <c r="M245" s="231" t="s">
        <v>515</v>
      </c>
      <c r="N245" s="231" t="s">
        <v>516</v>
      </c>
      <c r="P245" s="231" t="s">
        <v>70</v>
      </c>
      <c r="R245" s="231" t="s">
        <v>568</v>
      </c>
      <c r="S245" s="231" t="s">
        <v>569</v>
      </c>
      <c r="T245" s="231" t="s">
        <v>574</v>
      </c>
      <c r="U245" s="231" t="s">
        <v>573</v>
      </c>
      <c r="V245" s="231" t="s">
        <v>565</v>
      </c>
      <c r="W245" s="231" t="s">
        <v>567</v>
      </c>
      <c r="X245" s="231" t="s">
        <v>570</v>
      </c>
      <c r="Y245" s="231" t="s">
        <v>566</v>
      </c>
      <c r="AA245" s="231">
        <f t="shared" si="272"/>
        <v>0</v>
      </c>
      <c r="AB245" s="231">
        <f t="shared" si="273"/>
        <v>0</v>
      </c>
      <c r="AC245" s="231">
        <f t="shared" si="274"/>
        <v>1</v>
      </c>
      <c r="AD245" s="231">
        <f t="shared" si="275"/>
        <v>0</v>
      </c>
      <c r="AE245" s="231">
        <f t="shared" si="276"/>
        <v>0</v>
      </c>
      <c r="AF245" s="231">
        <f t="shared" si="277"/>
        <v>1</v>
      </c>
      <c r="AG245" s="231">
        <f t="shared" si="278"/>
        <v>1</v>
      </c>
      <c r="AH245" s="231">
        <f t="shared" si="279"/>
        <v>0</v>
      </c>
      <c r="AI245" s="231">
        <f t="shared" si="280"/>
        <v>1</v>
      </c>
      <c r="AJ245" s="231">
        <f t="shared" si="281"/>
        <v>1</v>
      </c>
      <c r="AK245" s="231">
        <f t="shared" si="282"/>
        <v>0</v>
      </c>
      <c r="AL245" s="231">
        <f t="shared" si="283"/>
        <v>1</v>
      </c>
      <c r="AM245" s="231">
        <f t="shared" si="284"/>
        <v>6</v>
      </c>
    </row>
    <row r="246" spans="4:39" x14ac:dyDescent="0.25">
      <c r="D246" s="231">
        <v>88</v>
      </c>
      <c r="F246" s="231" t="s">
        <v>73</v>
      </c>
      <c r="G246" s="231" t="s">
        <v>74</v>
      </c>
      <c r="J246" s="231" t="s">
        <v>75</v>
      </c>
      <c r="K246" s="231" t="s">
        <v>77</v>
      </c>
      <c r="L246" s="231" t="s">
        <v>78</v>
      </c>
      <c r="M246" s="231" t="s">
        <v>515</v>
      </c>
      <c r="N246" s="231" t="s">
        <v>516</v>
      </c>
      <c r="O246" s="232" t="s">
        <v>517</v>
      </c>
      <c r="R246" s="231" t="s">
        <v>568</v>
      </c>
      <c r="S246" s="231" t="s">
        <v>569</v>
      </c>
      <c r="T246" s="231" t="s">
        <v>574</v>
      </c>
      <c r="U246" s="231" t="s">
        <v>573</v>
      </c>
      <c r="V246" s="231" t="s">
        <v>565</v>
      </c>
      <c r="W246" s="231" t="s">
        <v>567</v>
      </c>
      <c r="X246" s="231" t="s">
        <v>566</v>
      </c>
      <c r="Y246" s="231" t="s">
        <v>571</v>
      </c>
      <c r="AA246" s="231">
        <f t="shared" si="272"/>
        <v>0</v>
      </c>
      <c r="AB246" s="231">
        <f t="shared" si="273"/>
        <v>0</v>
      </c>
      <c r="AC246" s="231">
        <f t="shared" si="274"/>
        <v>1</v>
      </c>
      <c r="AD246" s="231">
        <f t="shared" si="275"/>
        <v>0</v>
      </c>
      <c r="AE246" s="231">
        <f t="shared" si="276"/>
        <v>0</v>
      </c>
      <c r="AF246" s="231">
        <f t="shared" si="277"/>
        <v>1</v>
      </c>
      <c r="AG246" s="231">
        <f t="shared" si="278"/>
        <v>1</v>
      </c>
      <c r="AH246" s="231">
        <f t="shared" si="279"/>
        <v>0</v>
      </c>
      <c r="AI246" s="231">
        <f t="shared" si="280"/>
        <v>1</v>
      </c>
      <c r="AJ246" s="231">
        <f t="shared" si="281"/>
        <v>1</v>
      </c>
      <c r="AK246" s="231">
        <f t="shared" si="282"/>
        <v>0</v>
      </c>
      <c r="AL246" s="231">
        <f t="shared" si="283"/>
        <v>0</v>
      </c>
      <c r="AM246" s="231">
        <f t="shared" si="284"/>
        <v>5</v>
      </c>
    </row>
    <row r="247" spans="4:39" x14ac:dyDescent="0.25">
      <c r="D247" s="231">
        <v>89</v>
      </c>
      <c r="F247" s="231" t="s">
        <v>73</v>
      </c>
      <c r="G247" s="231" t="s">
        <v>74</v>
      </c>
      <c r="I247" s="231" t="s">
        <v>76</v>
      </c>
      <c r="L247" s="231" t="s">
        <v>78</v>
      </c>
      <c r="M247" s="231" t="s">
        <v>515</v>
      </c>
      <c r="N247" s="231" t="s">
        <v>516</v>
      </c>
      <c r="O247" s="232" t="s">
        <v>517</v>
      </c>
      <c r="P247" s="231" t="s">
        <v>70</v>
      </c>
      <c r="R247" s="231" t="s">
        <v>564</v>
      </c>
      <c r="S247" s="231" t="s">
        <v>565</v>
      </c>
      <c r="T247" s="231" t="s">
        <v>574</v>
      </c>
      <c r="U247" s="231" t="s">
        <v>573</v>
      </c>
      <c r="V247" s="231" t="s">
        <v>566</v>
      </c>
      <c r="W247" s="231" t="s">
        <v>568</v>
      </c>
      <c r="X247" s="231" t="s">
        <v>570</v>
      </c>
      <c r="Y247" s="231" t="s">
        <v>571</v>
      </c>
      <c r="AA247" s="231">
        <f t="shared" si="272"/>
        <v>0</v>
      </c>
      <c r="AB247" s="231">
        <f t="shared" si="273"/>
        <v>0</v>
      </c>
      <c r="AC247" s="231">
        <f t="shared" si="274"/>
        <v>1</v>
      </c>
      <c r="AD247" s="231">
        <f t="shared" si="275"/>
        <v>0</v>
      </c>
      <c r="AE247" s="231">
        <f t="shared" si="276"/>
        <v>1</v>
      </c>
      <c r="AF247" s="231">
        <f t="shared" si="277"/>
        <v>0</v>
      </c>
      <c r="AG247" s="231">
        <f t="shared" si="278"/>
        <v>0</v>
      </c>
      <c r="AH247" s="231">
        <f t="shared" si="279"/>
        <v>0</v>
      </c>
      <c r="AI247" s="231">
        <f t="shared" si="280"/>
        <v>1</v>
      </c>
      <c r="AJ247" s="231">
        <f t="shared" si="281"/>
        <v>1</v>
      </c>
      <c r="AK247" s="231">
        <f t="shared" si="282"/>
        <v>0</v>
      </c>
      <c r="AL247" s="231">
        <f t="shared" si="283"/>
        <v>1</v>
      </c>
      <c r="AM247" s="231">
        <f t="shared" si="284"/>
        <v>5</v>
      </c>
    </row>
    <row r="248" spans="4:39" x14ac:dyDescent="0.25">
      <c r="D248" s="231">
        <v>90</v>
      </c>
      <c r="F248" s="231" t="s">
        <v>73</v>
      </c>
      <c r="G248" s="231" t="s">
        <v>74</v>
      </c>
      <c r="I248" s="231" t="s">
        <v>76</v>
      </c>
      <c r="K248" s="231" t="s">
        <v>77</v>
      </c>
      <c r="M248" s="231" t="s">
        <v>515</v>
      </c>
      <c r="N248" s="231" t="s">
        <v>516</v>
      </c>
      <c r="O248" s="232" t="s">
        <v>517</v>
      </c>
      <c r="P248" s="231" t="s">
        <v>70</v>
      </c>
      <c r="R248" s="231" t="s">
        <v>564</v>
      </c>
      <c r="S248" s="231" t="s">
        <v>565</v>
      </c>
      <c r="T248" s="231" t="s">
        <v>574</v>
      </c>
      <c r="U248" s="231" t="s">
        <v>573</v>
      </c>
      <c r="V248" s="231" t="s">
        <v>566</v>
      </c>
      <c r="W248" s="231" t="s">
        <v>569</v>
      </c>
      <c r="X248" s="231" t="s">
        <v>570</v>
      </c>
      <c r="Y248" s="231" t="s">
        <v>571</v>
      </c>
      <c r="AA248" s="231">
        <f t="shared" si="272"/>
        <v>0</v>
      </c>
      <c r="AB248" s="231">
        <f t="shared" si="273"/>
        <v>0</v>
      </c>
      <c r="AC248" s="231">
        <f t="shared" si="274"/>
        <v>1</v>
      </c>
      <c r="AD248" s="231">
        <f t="shared" si="275"/>
        <v>0</v>
      </c>
      <c r="AE248" s="231">
        <f t="shared" si="276"/>
        <v>1</v>
      </c>
      <c r="AF248" s="231">
        <f t="shared" si="277"/>
        <v>0</v>
      </c>
      <c r="AG248" s="231">
        <f t="shared" si="278"/>
        <v>1</v>
      </c>
      <c r="AH248" s="231">
        <f t="shared" si="279"/>
        <v>0</v>
      </c>
      <c r="AI248" s="231">
        <f t="shared" si="280"/>
        <v>1</v>
      </c>
      <c r="AJ248" s="231">
        <f t="shared" si="281"/>
        <v>1</v>
      </c>
      <c r="AK248" s="231">
        <f t="shared" si="282"/>
        <v>0</v>
      </c>
      <c r="AL248" s="231">
        <f t="shared" si="283"/>
        <v>1</v>
      </c>
      <c r="AM248" s="231">
        <f t="shared" si="284"/>
        <v>6</v>
      </c>
    </row>
    <row r="249" spans="4:39" x14ac:dyDescent="0.25">
      <c r="D249" s="231">
        <v>91</v>
      </c>
      <c r="F249" s="231" t="s">
        <v>73</v>
      </c>
      <c r="G249" s="231" t="s">
        <v>74</v>
      </c>
      <c r="I249" s="231" t="s">
        <v>76</v>
      </c>
      <c r="K249" s="231" t="s">
        <v>77</v>
      </c>
      <c r="L249" s="231" t="s">
        <v>78</v>
      </c>
      <c r="N249" s="231" t="s">
        <v>516</v>
      </c>
      <c r="O249" s="232" t="s">
        <v>517</v>
      </c>
      <c r="P249" s="231" t="s">
        <v>70</v>
      </c>
      <c r="R249" s="231" t="s">
        <v>564</v>
      </c>
      <c r="S249" s="231" t="s">
        <v>565</v>
      </c>
      <c r="T249" s="231" t="s">
        <v>574</v>
      </c>
      <c r="U249" s="231" t="s">
        <v>573</v>
      </c>
      <c r="V249" s="231" t="s">
        <v>568</v>
      </c>
      <c r="W249" s="231" t="s">
        <v>569</v>
      </c>
      <c r="X249" s="231" t="s">
        <v>570</v>
      </c>
      <c r="Y249" s="231" t="s">
        <v>571</v>
      </c>
      <c r="AA249" s="231">
        <f t="shared" si="272"/>
        <v>0</v>
      </c>
      <c r="AB249" s="231">
        <f t="shared" si="273"/>
        <v>0</v>
      </c>
      <c r="AC249" s="231">
        <f t="shared" si="274"/>
        <v>1</v>
      </c>
      <c r="AD249" s="231">
        <f t="shared" si="275"/>
        <v>0</v>
      </c>
      <c r="AE249" s="231">
        <f t="shared" si="276"/>
        <v>1</v>
      </c>
      <c r="AF249" s="231">
        <f t="shared" si="277"/>
        <v>0</v>
      </c>
      <c r="AG249" s="231">
        <f t="shared" si="278"/>
        <v>1</v>
      </c>
      <c r="AH249" s="231">
        <f t="shared" si="279"/>
        <v>0</v>
      </c>
      <c r="AI249" s="231">
        <f t="shared" si="280"/>
        <v>0</v>
      </c>
      <c r="AJ249" s="231">
        <f t="shared" si="281"/>
        <v>1</v>
      </c>
      <c r="AK249" s="231">
        <f t="shared" si="282"/>
        <v>0</v>
      </c>
      <c r="AL249" s="231">
        <f t="shared" si="283"/>
        <v>1</v>
      </c>
      <c r="AM249" s="231">
        <f t="shared" si="284"/>
        <v>5</v>
      </c>
    </row>
    <row r="250" spans="4:39" x14ac:dyDescent="0.25">
      <c r="D250" s="231">
        <v>92</v>
      </c>
      <c r="F250" s="231" t="s">
        <v>73</v>
      </c>
      <c r="G250" s="231" t="s">
        <v>74</v>
      </c>
      <c r="I250" s="231" t="s">
        <v>76</v>
      </c>
      <c r="K250" s="231" t="s">
        <v>77</v>
      </c>
      <c r="L250" s="231" t="s">
        <v>78</v>
      </c>
      <c r="M250" s="231" t="s">
        <v>515</v>
      </c>
      <c r="O250" s="232" t="s">
        <v>517</v>
      </c>
      <c r="P250" s="231" t="s">
        <v>70</v>
      </c>
      <c r="R250" s="231" t="s">
        <v>564</v>
      </c>
      <c r="S250" s="231" t="s">
        <v>569</v>
      </c>
      <c r="T250" s="231" t="s">
        <v>574</v>
      </c>
      <c r="U250" s="231" t="s">
        <v>573</v>
      </c>
      <c r="V250" s="231" t="s">
        <v>566</v>
      </c>
      <c r="W250" s="231" t="s">
        <v>568</v>
      </c>
      <c r="X250" s="231" t="s">
        <v>570</v>
      </c>
      <c r="Y250" s="231" t="s">
        <v>571</v>
      </c>
      <c r="AA250" s="231">
        <f t="shared" si="272"/>
        <v>0</v>
      </c>
      <c r="AB250" s="231">
        <f t="shared" si="273"/>
        <v>0</v>
      </c>
      <c r="AC250" s="231">
        <f t="shared" si="274"/>
        <v>1</v>
      </c>
      <c r="AD250" s="231">
        <f t="shared" si="275"/>
        <v>0</v>
      </c>
      <c r="AE250" s="231">
        <f t="shared" si="276"/>
        <v>1</v>
      </c>
      <c r="AF250" s="231">
        <f t="shared" si="277"/>
        <v>0</v>
      </c>
      <c r="AG250" s="231">
        <f t="shared" si="278"/>
        <v>1</v>
      </c>
      <c r="AH250" s="231">
        <f t="shared" si="279"/>
        <v>0</v>
      </c>
      <c r="AI250" s="231">
        <f t="shared" si="280"/>
        <v>1</v>
      </c>
      <c r="AJ250" s="231">
        <f t="shared" si="281"/>
        <v>0</v>
      </c>
      <c r="AK250" s="231">
        <f t="shared" si="282"/>
        <v>0</v>
      </c>
      <c r="AL250" s="231">
        <f t="shared" si="283"/>
        <v>1</v>
      </c>
      <c r="AM250" s="231">
        <f t="shared" si="284"/>
        <v>5</v>
      </c>
    </row>
    <row r="251" spans="4:39" x14ac:dyDescent="0.25">
      <c r="D251" s="231">
        <v>93</v>
      </c>
      <c r="F251" s="231" t="s">
        <v>73</v>
      </c>
      <c r="G251" s="231" t="s">
        <v>74</v>
      </c>
      <c r="I251" s="231" t="s">
        <v>76</v>
      </c>
      <c r="K251" s="231" t="s">
        <v>77</v>
      </c>
      <c r="L251" s="231" t="s">
        <v>78</v>
      </c>
      <c r="M251" s="231" t="s">
        <v>515</v>
      </c>
      <c r="N251" s="231" t="s">
        <v>516</v>
      </c>
      <c r="P251" s="231" t="s">
        <v>70</v>
      </c>
      <c r="R251" s="231" t="s">
        <v>564</v>
      </c>
      <c r="S251" s="231" t="s">
        <v>565</v>
      </c>
      <c r="T251" s="231" t="s">
        <v>574</v>
      </c>
      <c r="U251" s="231" t="s">
        <v>573</v>
      </c>
      <c r="V251" s="231" t="s">
        <v>568</v>
      </c>
      <c r="W251" s="231" t="s">
        <v>569</v>
      </c>
      <c r="X251" s="231" t="s">
        <v>570</v>
      </c>
      <c r="Y251" s="231" t="s">
        <v>566</v>
      </c>
      <c r="AA251" s="231">
        <f t="shared" si="272"/>
        <v>0</v>
      </c>
      <c r="AB251" s="231">
        <f t="shared" si="273"/>
        <v>0</v>
      </c>
      <c r="AC251" s="231">
        <f t="shared" si="274"/>
        <v>1</v>
      </c>
      <c r="AD251" s="231">
        <f t="shared" si="275"/>
        <v>0</v>
      </c>
      <c r="AE251" s="231">
        <f t="shared" si="276"/>
        <v>1</v>
      </c>
      <c r="AF251" s="231">
        <f t="shared" si="277"/>
        <v>0</v>
      </c>
      <c r="AG251" s="231">
        <f t="shared" si="278"/>
        <v>1</v>
      </c>
      <c r="AH251" s="231">
        <f t="shared" si="279"/>
        <v>0</v>
      </c>
      <c r="AI251" s="231">
        <f t="shared" si="280"/>
        <v>1</v>
      </c>
      <c r="AJ251" s="231">
        <f t="shared" si="281"/>
        <v>1</v>
      </c>
      <c r="AK251" s="231">
        <f t="shared" si="282"/>
        <v>0</v>
      </c>
      <c r="AL251" s="231">
        <f t="shared" si="283"/>
        <v>1</v>
      </c>
      <c r="AM251" s="231">
        <f t="shared" si="284"/>
        <v>6</v>
      </c>
    </row>
    <row r="252" spans="4:39" x14ac:dyDescent="0.25">
      <c r="D252" s="231">
        <v>94</v>
      </c>
      <c r="F252" s="231" t="s">
        <v>73</v>
      </c>
      <c r="G252" s="231" t="s">
        <v>74</v>
      </c>
      <c r="I252" s="231" t="s">
        <v>76</v>
      </c>
      <c r="K252" s="231" t="s">
        <v>77</v>
      </c>
      <c r="L252" s="231" t="s">
        <v>78</v>
      </c>
      <c r="M252" s="231" t="s">
        <v>515</v>
      </c>
      <c r="N252" s="231" t="s">
        <v>516</v>
      </c>
      <c r="O252" s="232" t="s">
        <v>517</v>
      </c>
      <c r="R252" s="231" t="s">
        <v>564</v>
      </c>
      <c r="S252" s="231" t="s">
        <v>565</v>
      </c>
      <c r="T252" s="231" t="s">
        <v>574</v>
      </c>
      <c r="U252" s="231" t="s">
        <v>573</v>
      </c>
      <c r="V252" s="231" t="s">
        <v>568</v>
      </c>
      <c r="W252" s="231" t="s">
        <v>569</v>
      </c>
      <c r="X252" s="231" t="s">
        <v>566</v>
      </c>
      <c r="Y252" s="231" t="s">
        <v>571</v>
      </c>
      <c r="AA252" s="231">
        <f t="shared" si="272"/>
        <v>0</v>
      </c>
      <c r="AB252" s="231">
        <f t="shared" si="273"/>
        <v>0</v>
      </c>
      <c r="AC252" s="231">
        <f t="shared" si="274"/>
        <v>1</v>
      </c>
      <c r="AD252" s="231">
        <f t="shared" si="275"/>
        <v>0</v>
      </c>
      <c r="AE252" s="231">
        <f t="shared" si="276"/>
        <v>1</v>
      </c>
      <c r="AF252" s="231">
        <f t="shared" si="277"/>
        <v>0</v>
      </c>
      <c r="AG252" s="231">
        <f t="shared" si="278"/>
        <v>1</v>
      </c>
      <c r="AH252" s="231">
        <f t="shared" si="279"/>
        <v>0</v>
      </c>
      <c r="AI252" s="231">
        <f t="shared" si="280"/>
        <v>1</v>
      </c>
      <c r="AJ252" s="231">
        <f t="shared" si="281"/>
        <v>1</v>
      </c>
      <c r="AK252" s="231">
        <f t="shared" si="282"/>
        <v>0</v>
      </c>
      <c r="AL252" s="231">
        <f t="shared" si="283"/>
        <v>0</v>
      </c>
      <c r="AM252" s="231">
        <f t="shared" si="284"/>
        <v>5</v>
      </c>
    </row>
    <row r="253" spans="4:39" x14ac:dyDescent="0.25">
      <c r="D253" s="231">
        <v>95</v>
      </c>
      <c r="F253" s="231" t="s">
        <v>73</v>
      </c>
      <c r="G253" s="231" t="s">
        <v>74</v>
      </c>
      <c r="I253" s="231" t="s">
        <v>76</v>
      </c>
      <c r="J253" s="231" t="s">
        <v>75</v>
      </c>
      <c r="M253" s="231" t="s">
        <v>515</v>
      </c>
      <c r="N253" s="231" t="s">
        <v>516</v>
      </c>
      <c r="O253" s="232" t="s">
        <v>517</v>
      </c>
      <c r="P253" s="231" t="s">
        <v>70</v>
      </c>
      <c r="R253" s="231" t="s">
        <v>564</v>
      </c>
      <c r="S253" s="231" t="s">
        <v>565</v>
      </c>
      <c r="T253" s="231" t="s">
        <v>574</v>
      </c>
      <c r="U253" s="231" t="s">
        <v>573</v>
      </c>
      <c r="V253" s="231" t="s">
        <v>566</v>
      </c>
      <c r="W253" s="231" t="s">
        <v>567</v>
      </c>
      <c r="X253" s="231" t="s">
        <v>570</v>
      </c>
      <c r="Y253" s="231" t="s">
        <v>571</v>
      </c>
      <c r="AA253" s="231">
        <f t="shared" si="272"/>
        <v>0</v>
      </c>
      <c r="AB253" s="231">
        <f t="shared" si="273"/>
        <v>0</v>
      </c>
      <c r="AC253" s="231">
        <f t="shared" si="274"/>
        <v>1</v>
      </c>
      <c r="AD253" s="231">
        <f t="shared" si="275"/>
        <v>0</v>
      </c>
      <c r="AE253" s="231">
        <f t="shared" si="276"/>
        <v>1</v>
      </c>
      <c r="AF253" s="231">
        <f t="shared" si="277"/>
        <v>1</v>
      </c>
      <c r="AG253" s="231">
        <f t="shared" si="278"/>
        <v>0</v>
      </c>
      <c r="AH253" s="231">
        <f t="shared" si="279"/>
        <v>0</v>
      </c>
      <c r="AI253" s="231">
        <f t="shared" si="280"/>
        <v>1</v>
      </c>
      <c r="AJ253" s="231">
        <f t="shared" si="281"/>
        <v>1</v>
      </c>
      <c r="AK253" s="231">
        <f t="shared" si="282"/>
        <v>0</v>
      </c>
      <c r="AL253" s="231">
        <f t="shared" si="283"/>
        <v>1</v>
      </c>
      <c r="AM253" s="231">
        <f t="shared" si="284"/>
        <v>6</v>
      </c>
    </row>
    <row r="254" spans="4:39" x14ac:dyDescent="0.25">
      <c r="D254" s="231">
        <v>96</v>
      </c>
      <c r="F254" s="231" t="s">
        <v>73</v>
      </c>
      <c r="G254" s="231" t="s">
        <v>74</v>
      </c>
      <c r="I254" s="231" t="s">
        <v>76</v>
      </c>
      <c r="J254" s="231" t="s">
        <v>75</v>
      </c>
      <c r="L254" s="231" t="s">
        <v>78</v>
      </c>
      <c r="N254" s="231" t="s">
        <v>516</v>
      </c>
      <c r="O254" s="232" t="s">
        <v>517</v>
      </c>
      <c r="P254" s="231" t="s">
        <v>70</v>
      </c>
      <c r="R254" s="231" t="s">
        <v>564</v>
      </c>
      <c r="S254" s="231" t="s">
        <v>565</v>
      </c>
      <c r="T254" s="231" t="s">
        <v>574</v>
      </c>
      <c r="U254" s="231" t="s">
        <v>573</v>
      </c>
      <c r="V254" s="231" t="s">
        <v>568</v>
      </c>
      <c r="W254" s="231" t="s">
        <v>567</v>
      </c>
      <c r="X254" s="231" t="s">
        <v>570</v>
      </c>
      <c r="Y254" s="231" t="s">
        <v>571</v>
      </c>
      <c r="AA254" s="231">
        <f t="shared" si="272"/>
        <v>0</v>
      </c>
      <c r="AB254" s="231">
        <f t="shared" si="273"/>
        <v>0</v>
      </c>
      <c r="AC254" s="231">
        <f t="shared" si="274"/>
        <v>1</v>
      </c>
      <c r="AD254" s="231">
        <f t="shared" si="275"/>
        <v>0</v>
      </c>
      <c r="AE254" s="231">
        <f t="shared" si="276"/>
        <v>1</v>
      </c>
      <c r="AF254" s="231">
        <f t="shared" si="277"/>
        <v>1</v>
      </c>
      <c r="AG254" s="231">
        <f t="shared" si="278"/>
        <v>0</v>
      </c>
      <c r="AH254" s="231">
        <f t="shared" si="279"/>
        <v>0</v>
      </c>
      <c r="AI254" s="231">
        <f t="shared" si="280"/>
        <v>0</v>
      </c>
      <c r="AJ254" s="231">
        <f t="shared" si="281"/>
        <v>1</v>
      </c>
      <c r="AK254" s="231">
        <f t="shared" si="282"/>
        <v>0</v>
      </c>
      <c r="AL254" s="231">
        <f t="shared" si="283"/>
        <v>1</v>
      </c>
      <c r="AM254" s="231">
        <f t="shared" si="284"/>
        <v>5</v>
      </c>
    </row>
    <row r="255" spans="4:39" x14ac:dyDescent="0.25">
      <c r="D255" s="231">
        <v>97</v>
      </c>
      <c r="F255" s="231" t="s">
        <v>73</v>
      </c>
      <c r="G255" s="231" t="s">
        <v>74</v>
      </c>
      <c r="I255" s="231" t="s">
        <v>76</v>
      </c>
      <c r="J255" s="231" t="s">
        <v>75</v>
      </c>
      <c r="L255" s="231" t="s">
        <v>78</v>
      </c>
      <c r="M255" s="231" t="s">
        <v>515</v>
      </c>
      <c r="O255" s="232" t="s">
        <v>517</v>
      </c>
      <c r="P255" s="231" t="s">
        <v>70</v>
      </c>
      <c r="R255" s="231" t="s">
        <v>564</v>
      </c>
      <c r="S255" s="231" t="s">
        <v>566</v>
      </c>
      <c r="T255" s="231" t="s">
        <v>574</v>
      </c>
      <c r="U255" s="231" t="s">
        <v>573</v>
      </c>
      <c r="V255" s="231" t="s">
        <v>568</v>
      </c>
      <c r="W255" s="231" t="s">
        <v>567</v>
      </c>
      <c r="X255" s="231" t="s">
        <v>570</v>
      </c>
      <c r="Y255" s="231" t="s">
        <v>571</v>
      </c>
      <c r="AA255" s="231">
        <f t="shared" si="272"/>
        <v>0</v>
      </c>
      <c r="AB255" s="231">
        <f t="shared" si="273"/>
        <v>0</v>
      </c>
      <c r="AC255" s="231">
        <f t="shared" si="274"/>
        <v>1</v>
      </c>
      <c r="AD255" s="231">
        <f t="shared" si="275"/>
        <v>0</v>
      </c>
      <c r="AE255" s="231">
        <f t="shared" si="276"/>
        <v>1</v>
      </c>
      <c r="AF255" s="231">
        <f t="shared" si="277"/>
        <v>1</v>
      </c>
      <c r="AG255" s="231">
        <f t="shared" si="278"/>
        <v>0</v>
      </c>
      <c r="AH255" s="231">
        <f t="shared" si="279"/>
        <v>0</v>
      </c>
      <c r="AI255" s="231">
        <f t="shared" si="280"/>
        <v>1</v>
      </c>
      <c r="AJ255" s="231">
        <f t="shared" si="281"/>
        <v>0</v>
      </c>
      <c r="AK255" s="231">
        <f t="shared" si="282"/>
        <v>0</v>
      </c>
      <c r="AL255" s="231">
        <f t="shared" si="283"/>
        <v>1</v>
      </c>
      <c r="AM255" s="231">
        <f t="shared" si="284"/>
        <v>5</v>
      </c>
    </row>
    <row r="256" spans="4:39" x14ac:dyDescent="0.25">
      <c r="D256" s="231">
        <v>98</v>
      </c>
      <c r="F256" s="231" t="s">
        <v>73</v>
      </c>
      <c r="G256" s="231" t="s">
        <v>74</v>
      </c>
      <c r="I256" s="231" t="s">
        <v>76</v>
      </c>
      <c r="J256" s="231" t="s">
        <v>75</v>
      </c>
      <c r="L256" s="231" t="s">
        <v>78</v>
      </c>
      <c r="M256" s="231" t="s">
        <v>515</v>
      </c>
      <c r="N256" s="231" t="s">
        <v>516</v>
      </c>
      <c r="P256" s="231" t="s">
        <v>70</v>
      </c>
      <c r="R256" s="231" t="s">
        <v>564</v>
      </c>
      <c r="S256" s="231" t="s">
        <v>565</v>
      </c>
      <c r="T256" s="231" t="s">
        <v>574</v>
      </c>
      <c r="U256" s="231" t="s">
        <v>573</v>
      </c>
      <c r="V256" s="231" t="s">
        <v>568</v>
      </c>
      <c r="W256" s="231" t="s">
        <v>567</v>
      </c>
      <c r="X256" s="231" t="s">
        <v>570</v>
      </c>
      <c r="Y256" s="231" t="s">
        <v>566</v>
      </c>
      <c r="AA256" s="231">
        <f t="shared" si="272"/>
        <v>0</v>
      </c>
      <c r="AB256" s="231">
        <f t="shared" si="273"/>
        <v>0</v>
      </c>
      <c r="AC256" s="231">
        <f t="shared" si="274"/>
        <v>1</v>
      </c>
      <c r="AD256" s="231">
        <f t="shared" si="275"/>
        <v>0</v>
      </c>
      <c r="AE256" s="231">
        <f t="shared" si="276"/>
        <v>1</v>
      </c>
      <c r="AF256" s="231">
        <f t="shared" si="277"/>
        <v>1</v>
      </c>
      <c r="AG256" s="231">
        <f t="shared" si="278"/>
        <v>0</v>
      </c>
      <c r="AH256" s="231">
        <f t="shared" si="279"/>
        <v>0</v>
      </c>
      <c r="AI256" s="231">
        <f t="shared" si="280"/>
        <v>1</v>
      </c>
      <c r="AJ256" s="231">
        <f t="shared" si="281"/>
        <v>1</v>
      </c>
      <c r="AK256" s="231">
        <f t="shared" si="282"/>
        <v>0</v>
      </c>
      <c r="AL256" s="231">
        <f t="shared" si="283"/>
        <v>1</v>
      </c>
      <c r="AM256" s="231">
        <f t="shared" si="284"/>
        <v>6</v>
      </c>
    </row>
    <row r="257" spans="4:39" x14ac:dyDescent="0.25">
      <c r="D257" s="231">
        <v>99</v>
      </c>
      <c r="F257" s="231" t="s">
        <v>73</v>
      </c>
      <c r="G257" s="231" t="s">
        <v>74</v>
      </c>
      <c r="I257" s="231" t="s">
        <v>76</v>
      </c>
      <c r="J257" s="231" t="s">
        <v>75</v>
      </c>
      <c r="L257" s="231" t="s">
        <v>78</v>
      </c>
      <c r="M257" s="231" t="s">
        <v>515</v>
      </c>
      <c r="N257" s="231" t="s">
        <v>516</v>
      </c>
      <c r="O257" s="232" t="s">
        <v>517</v>
      </c>
      <c r="R257" s="231" t="s">
        <v>564</v>
      </c>
      <c r="S257" s="231" t="s">
        <v>565</v>
      </c>
      <c r="T257" s="231" t="s">
        <v>574</v>
      </c>
      <c r="U257" s="231" t="s">
        <v>573</v>
      </c>
      <c r="V257" s="231" t="s">
        <v>568</v>
      </c>
      <c r="W257" s="231" t="s">
        <v>567</v>
      </c>
      <c r="X257" s="231" t="s">
        <v>566</v>
      </c>
      <c r="Y257" s="231" t="s">
        <v>571</v>
      </c>
      <c r="AA257" s="231">
        <f t="shared" si="272"/>
        <v>0</v>
      </c>
      <c r="AB257" s="231">
        <f t="shared" si="273"/>
        <v>0</v>
      </c>
      <c r="AC257" s="231">
        <f t="shared" si="274"/>
        <v>1</v>
      </c>
      <c r="AD257" s="231">
        <f t="shared" si="275"/>
        <v>0</v>
      </c>
      <c r="AE257" s="231">
        <f t="shared" si="276"/>
        <v>1</v>
      </c>
      <c r="AF257" s="231">
        <f t="shared" si="277"/>
        <v>1</v>
      </c>
      <c r="AG257" s="231">
        <f t="shared" si="278"/>
        <v>0</v>
      </c>
      <c r="AH257" s="231">
        <f t="shared" si="279"/>
        <v>0</v>
      </c>
      <c r="AI257" s="231">
        <f t="shared" si="280"/>
        <v>1</v>
      </c>
      <c r="AJ257" s="231">
        <f t="shared" si="281"/>
        <v>1</v>
      </c>
      <c r="AK257" s="231">
        <f t="shared" si="282"/>
        <v>0</v>
      </c>
      <c r="AL257" s="231">
        <f t="shared" si="283"/>
        <v>0</v>
      </c>
      <c r="AM257" s="231">
        <f t="shared" si="284"/>
        <v>5</v>
      </c>
    </row>
    <row r="258" spans="4:39" x14ac:dyDescent="0.25">
      <c r="D258" s="231">
        <v>100</v>
      </c>
      <c r="F258" s="231" t="s">
        <v>73</v>
      </c>
      <c r="G258" s="231" t="s">
        <v>74</v>
      </c>
      <c r="I258" s="231" t="s">
        <v>76</v>
      </c>
      <c r="J258" s="231" t="s">
        <v>75</v>
      </c>
      <c r="K258" s="231" t="s">
        <v>77</v>
      </c>
      <c r="N258" s="231" t="s">
        <v>516</v>
      </c>
      <c r="O258" s="232" t="s">
        <v>517</v>
      </c>
      <c r="P258" s="231" t="s">
        <v>70</v>
      </c>
      <c r="R258" s="231" t="s">
        <v>564</v>
      </c>
      <c r="S258" s="231" t="s">
        <v>569</v>
      </c>
      <c r="T258" s="231" t="s">
        <v>574</v>
      </c>
      <c r="U258" s="231" t="s">
        <v>573</v>
      </c>
      <c r="V258" s="231" t="s">
        <v>565</v>
      </c>
      <c r="W258" s="231" t="s">
        <v>567</v>
      </c>
      <c r="X258" s="231" t="s">
        <v>570</v>
      </c>
      <c r="Y258" s="231" t="s">
        <v>571</v>
      </c>
      <c r="AA258" s="231">
        <f t="shared" si="272"/>
        <v>0</v>
      </c>
      <c r="AB258" s="231">
        <f t="shared" si="273"/>
        <v>0</v>
      </c>
      <c r="AC258" s="231">
        <f t="shared" si="274"/>
        <v>1</v>
      </c>
      <c r="AD258" s="231">
        <f t="shared" si="275"/>
        <v>0</v>
      </c>
      <c r="AE258" s="231">
        <f t="shared" si="276"/>
        <v>1</v>
      </c>
      <c r="AF258" s="231">
        <f t="shared" si="277"/>
        <v>1</v>
      </c>
      <c r="AG258" s="231">
        <f t="shared" si="278"/>
        <v>1</v>
      </c>
      <c r="AH258" s="231">
        <f t="shared" si="279"/>
        <v>0</v>
      </c>
      <c r="AI258" s="231">
        <f t="shared" si="280"/>
        <v>0</v>
      </c>
      <c r="AJ258" s="231">
        <f t="shared" si="281"/>
        <v>1</v>
      </c>
      <c r="AK258" s="231">
        <f t="shared" si="282"/>
        <v>0</v>
      </c>
      <c r="AL258" s="231">
        <f t="shared" si="283"/>
        <v>1</v>
      </c>
      <c r="AM258" s="231">
        <f t="shared" si="284"/>
        <v>6</v>
      </c>
    </row>
    <row r="259" spans="4:39" x14ac:dyDescent="0.25">
      <c r="D259" s="231">
        <v>101</v>
      </c>
      <c r="F259" s="231" t="s">
        <v>73</v>
      </c>
      <c r="G259" s="231" t="s">
        <v>74</v>
      </c>
      <c r="I259" s="231" t="s">
        <v>76</v>
      </c>
      <c r="J259" s="231" t="s">
        <v>75</v>
      </c>
      <c r="K259" s="231" t="s">
        <v>77</v>
      </c>
      <c r="M259" s="231" t="s">
        <v>515</v>
      </c>
      <c r="O259" s="232" t="s">
        <v>517</v>
      </c>
      <c r="P259" s="231" t="s">
        <v>70</v>
      </c>
      <c r="R259" s="231" t="s">
        <v>564</v>
      </c>
      <c r="S259" s="231" t="s">
        <v>569</v>
      </c>
      <c r="T259" s="231" t="s">
        <v>574</v>
      </c>
      <c r="U259" s="231" t="s">
        <v>573</v>
      </c>
      <c r="V259" s="231" t="s">
        <v>566</v>
      </c>
      <c r="W259" s="231" t="s">
        <v>567</v>
      </c>
      <c r="X259" s="231" t="s">
        <v>570</v>
      </c>
      <c r="Y259" s="231" t="s">
        <v>571</v>
      </c>
      <c r="AA259" s="231">
        <f t="shared" si="272"/>
        <v>0</v>
      </c>
      <c r="AB259" s="231">
        <f t="shared" si="273"/>
        <v>0</v>
      </c>
      <c r="AC259" s="231">
        <f t="shared" si="274"/>
        <v>1</v>
      </c>
      <c r="AD259" s="231">
        <f t="shared" si="275"/>
        <v>0</v>
      </c>
      <c r="AE259" s="231">
        <f t="shared" si="276"/>
        <v>1</v>
      </c>
      <c r="AF259" s="231">
        <f t="shared" si="277"/>
        <v>1</v>
      </c>
      <c r="AG259" s="231">
        <f t="shared" si="278"/>
        <v>1</v>
      </c>
      <c r="AH259" s="231">
        <f t="shared" si="279"/>
        <v>0</v>
      </c>
      <c r="AI259" s="231">
        <f t="shared" si="280"/>
        <v>1</v>
      </c>
      <c r="AJ259" s="231">
        <f t="shared" si="281"/>
        <v>0</v>
      </c>
      <c r="AK259" s="231">
        <f t="shared" si="282"/>
        <v>0</v>
      </c>
      <c r="AL259" s="231">
        <f t="shared" si="283"/>
        <v>1</v>
      </c>
      <c r="AM259" s="231">
        <f t="shared" si="284"/>
        <v>6</v>
      </c>
    </row>
    <row r="260" spans="4:39" x14ac:dyDescent="0.25">
      <c r="D260" s="231">
        <v>102</v>
      </c>
      <c r="F260" s="231" t="s">
        <v>73</v>
      </c>
      <c r="G260" s="231" t="s">
        <v>74</v>
      </c>
      <c r="I260" s="231" t="s">
        <v>76</v>
      </c>
      <c r="J260" s="231" t="s">
        <v>75</v>
      </c>
      <c r="K260" s="231" t="s">
        <v>77</v>
      </c>
      <c r="M260" s="231" t="s">
        <v>515</v>
      </c>
      <c r="N260" s="231" t="s">
        <v>516</v>
      </c>
      <c r="P260" s="231" t="s">
        <v>70</v>
      </c>
      <c r="R260" s="231" t="s">
        <v>564</v>
      </c>
      <c r="S260" s="231" t="s">
        <v>569</v>
      </c>
      <c r="T260" s="231" t="s">
        <v>574</v>
      </c>
      <c r="U260" s="231" t="s">
        <v>573</v>
      </c>
      <c r="V260" s="231" t="s">
        <v>565</v>
      </c>
      <c r="W260" s="231" t="s">
        <v>567</v>
      </c>
      <c r="X260" s="231" t="s">
        <v>570</v>
      </c>
      <c r="Y260" s="231" t="s">
        <v>566</v>
      </c>
      <c r="AA260" s="231">
        <f t="shared" si="272"/>
        <v>0</v>
      </c>
      <c r="AB260" s="231">
        <f t="shared" si="273"/>
        <v>0</v>
      </c>
      <c r="AC260" s="231">
        <f t="shared" si="274"/>
        <v>1</v>
      </c>
      <c r="AD260" s="231">
        <f t="shared" si="275"/>
        <v>0</v>
      </c>
      <c r="AE260" s="231">
        <f t="shared" si="276"/>
        <v>1</v>
      </c>
      <c r="AF260" s="231">
        <f t="shared" si="277"/>
        <v>1</v>
      </c>
      <c r="AG260" s="231">
        <f t="shared" si="278"/>
        <v>1</v>
      </c>
      <c r="AH260" s="231">
        <f t="shared" si="279"/>
        <v>0</v>
      </c>
      <c r="AI260" s="231">
        <f t="shared" si="280"/>
        <v>1</v>
      </c>
      <c r="AJ260" s="231">
        <f t="shared" si="281"/>
        <v>1</v>
      </c>
      <c r="AK260" s="231">
        <f t="shared" si="282"/>
        <v>0</v>
      </c>
      <c r="AL260" s="231">
        <f t="shared" si="283"/>
        <v>1</v>
      </c>
      <c r="AM260" s="231">
        <f t="shared" si="284"/>
        <v>7</v>
      </c>
    </row>
    <row r="261" spans="4:39" x14ac:dyDescent="0.25">
      <c r="D261" s="231">
        <v>103</v>
      </c>
      <c r="F261" s="231" t="s">
        <v>73</v>
      </c>
      <c r="G261" s="231" t="s">
        <v>74</v>
      </c>
      <c r="I261" s="231" t="s">
        <v>76</v>
      </c>
      <c r="J261" s="231" t="s">
        <v>75</v>
      </c>
      <c r="K261" s="231" t="s">
        <v>77</v>
      </c>
      <c r="M261" s="231" t="s">
        <v>515</v>
      </c>
      <c r="N261" s="231" t="s">
        <v>516</v>
      </c>
      <c r="O261" s="232" t="s">
        <v>517</v>
      </c>
      <c r="R261" s="231" t="s">
        <v>564</v>
      </c>
      <c r="S261" s="231" t="s">
        <v>569</v>
      </c>
      <c r="T261" s="231" t="s">
        <v>574</v>
      </c>
      <c r="U261" s="231" t="s">
        <v>573</v>
      </c>
      <c r="V261" s="231" t="s">
        <v>565</v>
      </c>
      <c r="W261" s="231" t="s">
        <v>567</v>
      </c>
      <c r="X261" s="231" t="s">
        <v>566</v>
      </c>
      <c r="Y261" s="231" t="s">
        <v>571</v>
      </c>
      <c r="AA261" s="231">
        <f t="shared" si="272"/>
        <v>0</v>
      </c>
      <c r="AB261" s="231">
        <f t="shared" si="273"/>
        <v>0</v>
      </c>
      <c r="AC261" s="231">
        <f t="shared" si="274"/>
        <v>1</v>
      </c>
      <c r="AD261" s="231">
        <f t="shared" si="275"/>
        <v>0</v>
      </c>
      <c r="AE261" s="231">
        <f t="shared" si="276"/>
        <v>1</v>
      </c>
      <c r="AF261" s="231">
        <f t="shared" si="277"/>
        <v>1</v>
      </c>
      <c r="AG261" s="231">
        <f t="shared" si="278"/>
        <v>1</v>
      </c>
      <c r="AH261" s="231">
        <f t="shared" si="279"/>
        <v>0</v>
      </c>
      <c r="AI261" s="231">
        <f t="shared" si="280"/>
        <v>1</v>
      </c>
      <c r="AJ261" s="231">
        <f t="shared" si="281"/>
        <v>1</v>
      </c>
      <c r="AK261" s="231">
        <f t="shared" si="282"/>
        <v>0</v>
      </c>
      <c r="AL261" s="231">
        <f t="shared" si="283"/>
        <v>0</v>
      </c>
      <c r="AM261" s="231">
        <f t="shared" si="284"/>
        <v>6</v>
      </c>
    </row>
    <row r="262" spans="4:39" x14ac:dyDescent="0.25">
      <c r="D262" s="231">
        <v>104</v>
      </c>
      <c r="F262" s="231" t="s">
        <v>73</v>
      </c>
      <c r="G262" s="231" t="s">
        <v>74</v>
      </c>
      <c r="I262" s="231" t="s">
        <v>76</v>
      </c>
      <c r="J262" s="231" t="s">
        <v>75</v>
      </c>
      <c r="K262" s="231" t="s">
        <v>77</v>
      </c>
      <c r="L262" s="231" t="s">
        <v>78</v>
      </c>
      <c r="O262" s="232" t="s">
        <v>517</v>
      </c>
      <c r="P262" s="231" t="s">
        <v>70</v>
      </c>
      <c r="R262" s="231" t="s">
        <v>564</v>
      </c>
      <c r="S262" s="231" t="s">
        <v>569</v>
      </c>
      <c r="T262" s="231" t="s">
        <v>574</v>
      </c>
      <c r="U262" s="231" t="s">
        <v>573</v>
      </c>
      <c r="V262" s="231" t="s">
        <v>568</v>
      </c>
      <c r="W262" s="231" t="s">
        <v>567</v>
      </c>
      <c r="X262" s="231" t="s">
        <v>570</v>
      </c>
      <c r="Y262" s="231" t="s">
        <v>571</v>
      </c>
      <c r="AA262" s="231">
        <f t="shared" si="272"/>
        <v>0</v>
      </c>
      <c r="AB262" s="231">
        <f t="shared" si="273"/>
        <v>0</v>
      </c>
      <c r="AC262" s="231">
        <f t="shared" si="274"/>
        <v>1</v>
      </c>
      <c r="AD262" s="231">
        <f t="shared" si="275"/>
        <v>0</v>
      </c>
      <c r="AE262" s="231">
        <f t="shared" si="276"/>
        <v>1</v>
      </c>
      <c r="AF262" s="231">
        <f t="shared" si="277"/>
        <v>1</v>
      </c>
      <c r="AG262" s="231">
        <f t="shared" si="278"/>
        <v>1</v>
      </c>
      <c r="AH262" s="231">
        <f t="shared" si="279"/>
        <v>0</v>
      </c>
      <c r="AI262" s="231">
        <f t="shared" si="280"/>
        <v>0</v>
      </c>
      <c r="AJ262" s="231">
        <f t="shared" si="281"/>
        <v>0</v>
      </c>
      <c r="AK262" s="231">
        <f t="shared" si="282"/>
        <v>0</v>
      </c>
      <c r="AL262" s="231">
        <f t="shared" si="283"/>
        <v>1</v>
      </c>
      <c r="AM262" s="231">
        <f t="shared" si="284"/>
        <v>5</v>
      </c>
    </row>
    <row r="263" spans="4:39" x14ac:dyDescent="0.25">
      <c r="D263" s="231">
        <v>105</v>
      </c>
      <c r="F263" s="231" t="s">
        <v>73</v>
      </c>
      <c r="G263" s="231" t="s">
        <v>74</v>
      </c>
      <c r="I263" s="231" t="s">
        <v>76</v>
      </c>
      <c r="J263" s="231" t="s">
        <v>75</v>
      </c>
      <c r="K263" s="231" t="s">
        <v>77</v>
      </c>
      <c r="L263" s="231" t="s">
        <v>78</v>
      </c>
      <c r="N263" s="231" t="s">
        <v>516</v>
      </c>
      <c r="P263" s="231" t="s">
        <v>70</v>
      </c>
      <c r="R263" s="231" t="s">
        <v>568</v>
      </c>
      <c r="S263" s="231" t="s">
        <v>569</v>
      </c>
      <c r="T263" s="231" t="s">
        <v>574</v>
      </c>
      <c r="U263" s="231" t="s">
        <v>573</v>
      </c>
      <c r="V263" s="231" t="s">
        <v>565</v>
      </c>
      <c r="W263" s="231" t="s">
        <v>567</v>
      </c>
      <c r="X263" s="231" t="s">
        <v>570</v>
      </c>
      <c r="Y263" s="231" t="s">
        <v>564</v>
      </c>
      <c r="AA263" s="231">
        <f t="shared" si="272"/>
        <v>0</v>
      </c>
      <c r="AB263" s="231">
        <f t="shared" si="273"/>
        <v>0</v>
      </c>
      <c r="AC263" s="231">
        <f t="shared" si="274"/>
        <v>1</v>
      </c>
      <c r="AD263" s="231">
        <f t="shared" si="275"/>
        <v>0</v>
      </c>
      <c r="AE263" s="231">
        <f t="shared" si="276"/>
        <v>1</v>
      </c>
      <c r="AF263" s="231">
        <f t="shared" si="277"/>
        <v>1</v>
      </c>
      <c r="AG263" s="231">
        <f t="shared" si="278"/>
        <v>1</v>
      </c>
      <c r="AH263" s="231">
        <f t="shared" si="279"/>
        <v>0</v>
      </c>
      <c r="AI263" s="231">
        <f t="shared" si="280"/>
        <v>0</v>
      </c>
      <c r="AJ263" s="231">
        <f t="shared" si="281"/>
        <v>1</v>
      </c>
      <c r="AK263" s="231">
        <f t="shared" si="282"/>
        <v>0</v>
      </c>
      <c r="AL263" s="231">
        <f t="shared" si="283"/>
        <v>1</v>
      </c>
      <c r="AM263" s="231">
        <f t="shared" si="284"/>
        <v>6</v>
      </c>
    </row>
    <row r="264" spans="4:39" x14ac:dyDescent="0.25">
      <c r="D264" s="231">
        <v>106</v>
      </c>
      <c r="F264" s="231" t="s">
        <v>73</v>
      </c>
      <c r="G264" s="231" t="s">
        <v>74</v>
      </c>
      <c r="I264" s="231" t="s">
        <v>76</v>
      </c>
      <c r="J264" s="231" t="s">
        <v>75</v>
      </c>
      <c r="K264" s="231" t="s">
        <v>77</v>
      </c>
      <c r="L264" s="231" t="s">
        <v>78</v>
      </c>
      <c r="N264" s="231" t="s">
        <v>516</v>
      </c>
      <c r="O264" s="232" t="s">
        <v>517</v>
      </c>
      <c r="R264" s="231" t="s">
        <v>568</v>
      </c>
      <c r="S264" s="231" t="s">
        <v>569</v>
      </c>
      <c r="T264" s="231" t="s">
        <v>574</v>
      </c>
      <c r="U264" s="231" t="s">
        <v>573</v>
      </c>
      <c r="V264" s="231" t="s">
        <v>565</v>
      </c>
      <c r="W264" s="231" t="s">
        <v>567</v>
      </c>
      <c r="X264" s="231" t="s">
        <v>564</v>
      </c>
      <c r="Y264" s="231" t="s">
        <v>571</v>
      </c>
      <c r="AA264" s="231">
        <f t="shared" si="272"/>
        <v>0</v>
      </c>
      <c r="AB264" s="231">
        <f t="shared" si="273"/>
        <v>0</v>
      </c>
      <c r="AC264" s="231">
        <f t="shared" si="274"/>
        <v>1</v>
      </c>
      <c r="AD264" s="231">
        <f t="shared" si="275"/>
        <v>0</v>
      </c>
      <c r="AE264" s="231">
        <f t="shared" si="276"/>
        <v>1</v>
      </c>
      <c r="AF264" s="231">
        <f t="shared" si="277"/>
        <v>1</v>
      </c>
      <c r="AG264" s="231">
        <f t="shared" si="278"/>
        <v>1</v>
      </c>
      <c r="AH264" s="231">
        <f t="shared" si="279"/>
        <v>0</v>
      </c>
      <c r="AI264" s="231">
        <f t="shared" si="280"/>
        <v>0</v>
      </c>
      <c r="AJ264" s="231">
        <f t="shared" si="281"/>
        <v>1</v>
      </c>
      <c r="AK264" s="231">
        <f t="shared" si="282"/>
        <v>0</v>
      </c>
      <c r="AL264" s="231">
        <f t="shared" si="283"/>
        <v>0</v>
      </c>
      <c r="AM264" s="231">
        <f t="shared" si="284"/>
        <v>5</v>
      </c>
    </row>
    <row r="265" spans="4:39" x14ac:dyDescent="0.25">
      <c r="D265" s="231">
        <v>107</v>
      </c>
      <c r="F265" s="231" t="s">
        <v>73</v>
      </c>
      <c r="G265" s="231" t="s">
        <v>74</v>
      </c>
      <c r="I265" s="231" t="s">
        <v>76</v>
      </c>
      <c r="J265" s="231" t="s">
        <v>75</v>
      </c>
      <c r="K265" s="231" t="s">
        <v>77</v>
      </c>
      <c r="L265" s="231" t="s">
        <v>78</v>
      </c>
      <c r="M265" s="231" t="s">
        <v>515</v>
      </c>
      <c r="P265" s="231" t="s">
        <v>70</v>
      </c>
      <c r="R265" s="231" t="s">
        <v>564</v>
      </c>
      <c r="S265" s="231" t="s">
        <v>569</v>
      </c>
      <c r="T265" s="231" t="s">
        <v>574</v>
      </c>
      <c r="U265" s="231" t="s">
        <v>573</v>
      </c>
      <c r="V265" s="231" t="s">
        <v>568</v>
      </c>
      <c r="W265" s="231" t="s">
        <v>567</v>
      </c>
      <c r="X265" s="231" t="s">
        <v>570</v>
      </c>
      <c r="Y265" s="231" t="s">
        <v>566</v>
      </c>
      <c r="AA265" s="231">
        <f t="shared" si="272"/>
        <v>0</v>
      </c>
      <c r="AB265" s="231">
        <f t="shared" si="273"/>
        <v>0</v>
      </c>
      <c r="AC265" s="231">
        <f t="shared" si="274"/>
        <v>1</v>
      </c>
      <c r="AD265" s="231">
        <f t="shared" si="275"/>
        <v>0</v>
      </c>
      <c r="AE265" s="231">
        <f t="shared" si="276"/>
        <v>1</v>
      </c>
      <c r="AF265" s="231">
        <f t="shared" si="277"/>
        <v>1</v>
      </c>
      <c r="AG265" s="231">
        <f t="shared" si="278"/>
        <v>1</v>
      </c>
      <c r="AH265" s="231">
        <f t="shared" si="279"/>
        <v>0</v>
      </c>
      <c r="AI265" s="231">
        <f t="shared" si="280"/>
        <v>1</v>
      </c>
      <c r="AJ265" s="231">
        <f t="shared" si="281"/>
        <v>0</v>
      </c>
      <c r="AK265" s="231">
        <f t="shared" si="282"/>
        <v>0</v>
      </c>
      <c r="AL265" s="231">
        <f t="shared" si="283"/>
        <v>1</v>
      </c>
      <c r="AM265" s="231">
        <f t="shared" si="284"/>
        <v>6</v>
      </c>
    </row>
    <row r="266" spans="4:39" x14ac:dyDescent="0.25">
      <c r="D266" s="231">
        <v>108</v>
      </c>
      <c r="F266" s="231" t="s">
        <v>73</v>
      </c>
      <c r="G266" s="231" t="s">
        <v>74</v>
      </c>
      <c r="I266" s="231" t="s">
        <v>76</v>
      </c>
      <c r="J266" s="231" t="s">
        <v>75</v>
      </c>
      <c r="K266" s="231" t="s">
        <v>77</v>
      </c>
      <c r="L266" s="231" t="s">
        <v>78</v>
      </c>
      <c r="M266" s="231" t="s">
        <v>515</v>
      </c>
      <c r="O266" s="232" t="s">
        <v>517</v>
      </c>
      <c r="R266" s="231" t="s">
        <v>564</v>
      </c>
      <c r="S266" s="231" t="s">
        <v>569</v>
      </c>
      <c r="T266" s="231" t="s">
        <v>574</v>
      </c>
      <c r="U266" s="231" t="s">
        <v>573</v>
      </c>
      <c r="V266" s="231" t="s">
        <v>568</v>
      </c>
      <c r="W266" s="231" t="s">
        <v>567</v>
      </c>
      <c r="X266" s="231" t="s">
        <v>566</v>
      </c>
      <c r="Y266" s="231" t="s">
        <v>571</v>
      </c>
      <c r="AA266" s="231">
        <f t="shared" si="272"/>
        <v>0</v>
      </c>
      <c r="AB266" s="231">
        <f t="shared" si="273"/>
        <v>0</v>
      </c>
      <c r="AC266" s="231">
        <f t="shared" si="274"/>
        <v>1</v>
      </c>
      <c r="AD266" s="231">
        <f t="shared" si="275"/>
        <v>0</v>
      </c>
      <c r="AE266" s="231">
        <f t="shared" si="276"/>
        <v>1</v>
      </c>
      <c r="AF266" s="231">
        <f t="shared" si="277"/>
        <v>1</v>
      </c>
      <c r="AG266" s="231">
        <f t="shared" si="278"/>
        <v>1</v>
      </c>
      <c r="AH266" s="231">
        <f t="shared" si="279"/>
        <v>0</v>
      </c>
      <c r="AI266" s="231">
        <f t="shared" si="280"/>
        <v>1</v>
      </c>
      <c r="AJ266" s="231">
        <f t="shared" si="281"/>
        <v>0</v>
      </c>
      <c r="AK266" s="231">
        <f t="shared" si="282"/>
        <v>0</v>
      </c>
      <c r="AL266" s="231">
        <f t="shared" si="283"/>
        <v>0</v>
      </c>
      <c r="AM266" s="231">
        <f t="shared" si="284"/>
        <v>5</v>
      </c>
    </row>
    <row r="267" spans="4:39" x14ac:dyDescent="0.25">
      <c r="D267" s="231">
        <v>109</v>
      </c>
      <c r="F267" s="231" t="s">
        <v>73</v>
      </c>
      <c r="G267" s="231" t="s">
        <v>74</v>
      </c>
      <c r="I267" s="231" t="s">
        <v>76</v>
      </c>
      <c r="J267" s="231" t="s">
        <v>75</v>
      </c>
      <c r="K267" s="231" t="s">
        <v>77</v>
      </c>
      <c r="L267" s="231" t="s">
        <v>78</v>
      </c>
      <c r="M267" s="231" t="s">
        <v>515</v>
      </c>
      <c r="N267" s="231" t="s">
        <v>516</v>
      </c>
      <c r="R267" s="231" t="s">
        <v>568</v>
      </c>
      <c r="S267" s="231" t="s">
        <v>569</v>
      </c>
      <c r="T267" s="231" t="s">
        <v>574</v>
      </c>
      <c r="U267" s="231" t="s">
        <v>573</v>
      </c>
      <c r="V267" s="231" t="s">
        <v>565</v>
      </c>
      <c r="W267" s="231" t="s">
        <v>567</v>
      </c>
      <c r="X267" s="231" t="s">
        <v>564</v>
      </c>
      <c r="Y267" s="231" t="s">
        <v>566</v>
      </c>
      <c r="AA267" s="231">
        <f t="shared" si="272"/>
        <v>0</v>
      </c>
      <c r="AB267" s="231">
        <f t="shared" si="273"/>
        <v>0</v>
      </c>
      <c r="AC267" s="231">
        <f t="shared" si="274"/>
        <v>1</v>
      </c>
      <c r="AD267" s="231">
        <f t="shared" si="275"/>
        <v>0</v>
      </c>
      <c r="AE267" s="231">
        <f t="shared" si="276"/>
        <v>1</v>
      </c>
      <c r="AF267" s="231">
        <f t="shared" si="277"/>
        <v>1</v>
      </c>
      <c r="AG267" s="231">
        <f t="shared" si="278"/>
        <v>1</v>
      </c>
      <c r="AH267" s="231">
        <f t="shared" si="279"/>
        <v>0</v>
      </c>
      <c r="AI267" s="231">
        <f t="shared" si="280"/>
        <v>1</v>
      </c>
      <c r="AJ267" s="231">
        <f t="shared" si="281"/>
        <v>1</v>
      </c>
      <c r="AK267" s="231">
        <f t="shared" si="282"/>
        <v>0</v>
      </c>
      <c r="AL267" s="231">
        <f t="shared" si="283"/>
        <v>0</v>
      </c>
      <c r="AM267" s="231">
        <f t="shared" si="284"/>
        <v>6</v>
      </c>
    </row>
    <row r="268" spans="4:39" x14ac:dyDescent="0.25">
      <c r="D268" s="231">
        <v>110</v>
      </c>
      <c r="F268" s="231" t="s">
        <v>73</v>
      </c>
      <c r="G268" s="231" t="s">
        <v>74</v>
      </c>
      <c r="H268" s="231" t="s">
        <v>69</v>
      </c>
      <c r="L268" s="231" t="s">
        <v>78</v>
      </c>
      <c r="M268" s="231" t="s">
        <v>515</v>
      </c>
      <c r="N268" s="231" t="s">
        <v>516</v>
      </c>
      <c r="O268" s="232" t="s">
        <v>517</v>
      </c>
      <c r="P268" s="231" t="s">
        <v>70</v>
      </c>
      <c r="R268" s="231" t="s">
        <v>568</v>
      </c>
      <c r="S268" s="231" t="s">
        <v>565</v>
      </c>
      <c r="T268" s="231" t="s">
        <v>574</v>
      </c>
      <c r="U268" s="231" t="s">
        <v>573</v>
      </c>
      <c r="V268" s="231" t="s">
        <v>566</v>
      </c>
      <c r="W268" s="231" t="s">
        <v>572</v>
      </c>
      <c r="X268" s="231" t="s">
        <v>570</v>
      </c>
      <c r="Y268" s="231" t="s">
        <v>571</v>
      </c>
      <c r="AA268" s="231">
        <f t="shared" si="272"/>
        <v>0</v>
      </c>
      <c r="AB268" s="231">
        <f t="shared" si="273"/>
        <v>0</v>
      </c>
      <c r="AC268" s="231">
        <f t="shared" si="274"/>
        <v>1</v>
      </c>
      <c r="AD268" s="231">
        <f t="shared" si="275"/>
        <v>1</v>
      </c>
      <c r="AE268" s="231">
        <f t="shared" si="276"/>
        <v>0</v>
      </c>
      <c r="AF268" s="231">
        <f t="shared" si="277"/>
        <v>0</v>
      </c>
      <c r="AG268" s="231">
        <f t="shared" si="278"/>
        <v>0</v>
      </c>
      <c r="AH268" s="231">
        <f t="shared" si="279"/>
        <v>0</v>
      </c>
      <c r="AI268" s="231">
        <f t="shared" si="280"/>
        <v>1</v>
      </c>
      <c r="AJ268" s="231">
        <f t="shared" si="281"/>
        <v>1</v>
      </c>
      <c r="AK268" s="231">
        <f t="shared" si="282"/>
        <v>0</v>
      </c>
      <c r="AL268" s="231">
        <f t="shared" si="283"/>
        <v>1</v>
      </c>
      <c r="AM268" s="231">
        <f t="shared" si="284"/>
        <v>5</v>
      </c>
    </row>
    <row r="269" spans="4:39" x14ac:dyDescent="0.25">
      <c r="D269" s="231">
        <v>111</v>
      </c>
      <c r="F269" s="231" t="s">
        <v>73</v>
      </c>
      <c r="G269" s="231" t="s">
        <v>74</v>
      </c>
      <c r="H269" s="231" t="s">
        <v>69</v>
      </c>
      <c r="K269" s="231" t="s">
        <v>77</v>
      </c>
      <c r="M269" s="231" t="s">
        <v>515</v>
      </c>
      <c r="N269" s="231" t="s">
        <v>516</v>
      </c>
      <c r="O269" s="232" t="s">
        <v>517</v>
      </c>
      <c r="P269" s="231" t="s">
        <v>70</v>
      </c>
      <c r="R269" s="231" t="s">
        <v>566</v>
      </c>
      <c r="S269" s="231" t="s">
        <v>569</v>
      </c>
      <c r="T269" s="231" t="s">
        <v>574</v>
      </c>
      <c r="U269" s="231" t="s">
        <v>573</v>
      </c>
      <c r="V269" s="231" t="s">
        <v>565</v>
      </c>
      <c r="W269" s="231" t="s">
        <v>572</v>
      </c>
      <c r="X269" s="231" t="s">
        <v>570</v>
      </c>
      <c r="Y269" s="231" t="s">
        <v>571</v>
      </c>
      <c r="AA269" s="231">
        <f t="shared" si="272"/>
        <v>0</v>
      </c>
      <c r="AB269" s="231">
        <f t="shared" si="273"/>
        <v>0</v>
      </c>
      <c r="AC269" s="231">
        <f t="shared" si="274"/>
        <v>1</v>
      </c>
      <c r="AD269" s="231">
        <f t="shared" si="275"/>
        <v>1</v>
      </c>
      <c r="AE269" s="231">
        <f t="shared" si="276"/>
        <v>0</v>
      </c>
      <c r="AF269" s="231">
        <f t="shared" si="277"/>
        <v>0</v>
      </c>
      <c r="AG269" s="231">
        <f t="shared" si="278"/>
        <v>1</v>
      </c>
      <c r="AH269" s="231">
        <f t="shared" si="279"/>
        <v>0</v>
      </c>
      <c r="AI269" s="231">
        <f t="shared" si="280"/>
        <v>1</v>
      </c>
      <c r="AJ269" s="231">
        <f t="shared" si="281"/>
        <v>1</v>
      </c>
      <c r="AK269" s="231">
        <f t="shared" si="282"/>
        <v>0</v>
      </c>
      <c r="AL269" s="231">
        <f t="shared" si="283"/>
        <v>1</v>
      </c>
      <c r="AM269" s="231">
        <f t="shared" si="284"/>
        <v>6</v>
      </c>
    </row>
    <row r="270" spans="4:39" x14ac:dyDescent="0.25">
      <c r="D270" s="231">
        <v>112</v>
      </c>
      <c r="F270" s="231" t="s">
        <v>73</v>
      </c>
      <c r="G270" s="231" t="s">
        <v>74</v>
      </c>
      <c r="H270" s="231" t="s">
        <v>69</v>
      </c>
      <c r="K270" s="231" t="s">
        <v>77</v>
      </c>
      <c r="L270" s="231" t="s">
        <v>78</v>
      </c>
      <c r="N270" s="231" t="s">
        <v>516</v>
      </c>
      <c r="O270" s="232" t="s">
        <v>517</v>
      </c>
      <c r="P270" s="231" t="s">
        <v>70</v>
      </c>
      <c r="R270" s="231" t="s">
        <v>568</v>
      </c>
      <c r="S270" s="231" t="s">
        <v>569</v>
      </c>
      <c r="T270" s="231" t="s">
        <v>574</v>
      </c>
      <c r="U270" s="231" t="s">
        <v>573</v>
      </c>
      <c r="V270" s="231" t="s">
        <v>565</v>
      </c>
      <c r="W270" s="231" t="s">
        <v>572</v>
      </c>
      <c r="X270" s="231" t="s">
        <v>570</v>
      </c>
      <c r="Y270" s="231" t="s">
        <v>571</v>
      </c>
      <c r="AA270" s="231">
        <f t="shared" si="272"/>
        <v>0</v>
      </c>
      <c r="AB270" s="231">
        <f t="shared" si="273"/>
        <v>0</v>
      </c>
      <c r="AC270" s="231">
        <f t="shared" si="274"/>
        <v>1</v>
      </c>
      <c r="AD270" s="231">
        <f t="shared" si="275"/>
        <v>1</v>
      </c>
      <c r="AE270" s="231">
        <f t="shared" si="276"/>
        <v>0</v>
      </c>
      <c r="AF270" s="231">
        <f t="shared" si="277"/>
        <v>0</v>
      </c>
      <c r="AG270" s="231">
        <f t="shared" si="278"/>
        <v>1</v>
      </c>
      <c r="AH270" s="231">
        <f t="shared" si="279"/>
        <v>0</v>
      </c>
      <c r="AI270" s="231">
        <f t="shared" si="280"/>
        <v>0</v>
      </c>
      <c r="AJ270" s="231">
        <f t="shared" si="281"/>
        <v>1</v>
      </c>
      <c r="AK270" s="231">
        <f t="shared" si="282"/>
        <v>0</v>
      </c>
      <c r="AL270" s="231">
        <f t="shared" si="283"/>
        <v>1</v>
      </c>
      <c r="AM270" s="231">
        <f t="shared" si="284"/>
        <v>5</v>
      </c>
    </row>
    <row r="271" spans="4:39" x14ac:dyDescent="0.25">
      <c r="D271" s="231">
        <v>113</v>
      </c>
      <c r="F271" s="231" t="s">
        <v>73</v>
      </c>
      <c r="G271" s="231" t="s">
        <v>74</v>
      </c>
      <c r="H271" s="231" t="s">
        <v>69</v>
      </c>
      <c r="K271" s="231" t="s">
        <v>77</v>
      </c>
      <c r="L271" s="231" t="s">
        <v>78</v>
      </c>
      <c r="M271" s="231" t="s">
        <v>515</v>
      </c>
      <c r="O271" s="232" t="s">
        <v>517</v>
      </c>
      <c r="P271" s="231" t="s">
        <v>70</v>
      </c>
      <c r="R271" s="231" t="s">
        <v>568</v>
      </c>
      <c r="S271" s="231" t="s">
        <v>569</v>
      </c>
      <c r="T271" s="231" t="s">
        <v>574</v>
      </c>
      <c r="U271" s="231" t="s">
        <v>573</v>
      </c>
      <c r="V271" s="231" t="s">
        <v>566</v>
      </c>
      <c r="W271" s="231" t="s">
        <v>572</v>
      </c>
      <c r="X271" s="231" t="s">
        <v>570</v>
      </c>
      <c r="Y271" s="231" t="s">
        <v>571</v>
      </c>
      <c r="AA271" s="231">
        <f t="shared" si="272"/>
        <v>0</v>
      </c>
      <c r="AB271" s="231">
        <f t="shared" si="273"/>
        <v>0</v>
      </c>
      <c r="AC271" s="231">
        <f t="shared" si="274"/>
        <v>1</v>
      </c>
      <c r="AD271" s="231">
        <f t="shared" si="275"/>
        <v>1</v>
      </c>
      <c r="AE271" s="231">
        <f t="shared" si="276"/>
        <v>0</v>
      </c>
      <c r="AF271" s="231">
        <f t="shared" si="277"/>
        <v>0</v>
      </c>
      <c r="AG271" s="231">
        <f t="shared" si="278"/>
        <v>1</v>
      </c>
      <c r="AH271" s="231">
        <f t="shared" si="279"/>
        <v>0</v>
      </c>
      <c r="AI271" s="231">
        <f t="shared" si="280"/>
        <v>1</v>
      </c>
      <c r="AJ271" s="231">
        <f t="shared" si="281"/>
        <v>0</v>
      </c>
      <c r="AK271" s="231">
        <f t="shared" si="282"/>
        <v>0</v>
      </c>
      <c r="AL271" s="231">
        <f t="shared" si="283"/>
        <v>1</v>
      </c>
      <c r="AM271" s="231">
        <f t="shared" si="284"/>
        <v>5</v>
      </c>
    </row>
    <row r="272" spans="4:39" x14ac:dyDescent="0.25">
      <c r="D272" s="231">
        <v>114</v>
      </c>
      <c r="F272" s="231" t="s">
        <v>73</v>
      </c>
      <c r="G272" s="231" t="s">
        <v>74</v>
      </c>
      <c r="H272" s="231" t="s">
        <v>69</v>
      </c>
      <c r="K272" s="231" t="s">
        <v>77</v>
      </c>
      <c r="L272" s="231" t="s">
        <v>78</v>
      </c>
      <c r="M272" s="231" t="s">
        <v>515</v>
      </c>
      <c r="N272" s="231" t="s">
        <v>516</v>
      </c>
      <c r="P272" s="231" t="s">
        <v>70</v>
      </c>
      <c r="R272" s="231" t="s">
        <v>568</v>
      </c>
      <c r="S272" s="231" t="s">
        <v>569</v>
      </c>
      <c r="T272" s="231" t="s">
        <v>574</v>
      </c>
      <c r="U272" s="231" t="s">
        <v>573</v>
      </c>
      <c r="V272" s="231" t="s">
        <v>565</v>
      </c>
      <c r="W272" s="231" t="s">
        <v>572</v>
      </c>
      <c r="X272" s="231" t="s">
        <v>570</v>
      </c>
      <c r="Y272" s="231" t="s">
        <v>566</v>
      </c>
      <c r="AA272" s="231">
        <f t="shared" si="272"/>
        <v>0</v>
      </c>
      <c r="AB272" s="231">
        <f t="shared" si="273"/>
        <v>0</v>
      </c>
      <c r="AC272" s="231">
        <f t="shared" si="274"/>
        <v>1</v>
      </c>
      <c r="AD272" s="231">
        <f t="shared" si="275"/>
        <v>1</v>
      </c>
      <c r="AE272" s="231">
        <f t="shared" si="276"/>
        <v>0</v>
      </c>
      <c r="AF272" s="231">
        <f t="shared" si="277"/>
        <v>0</v>
      </c>
      <c r="AG272" s="231">
        <f t="shared" si="278"/>
        <v>1</v>
      </c>
      <c r="AH272" s="231">
        <f t="shared" si="279"/>
        <v>0</v>
      </c>
      <c r="AI272" s="231">
        <f t="shared" si="280"/>
        <v>1</v>
      </c>
      <c r="AJ272" s="231">
        <f t="shared" si="281"/>
        <v>1</v>
      </c>
      <c r="AK272" s="231">
        <f t="shared" si="282"/>
        <v>0</v>
      </c>
      <c r="AL272" s="231">
        <f t="shared" si="283"/>
        <v>1</v>
      </c>
      <c r="AM272" s="231">
        <f t="shared" si="284"/>
        <v>6</v>
      </c>
    </row>
    <row r="273" spans="4:39" x14ac:dyDescent="0.25">
      <c r="D273" s="231">
        <v>115</v>
      </c>
      <c r="F273" s="231" t="s">
        <v>73</v>
      </c>
      <c r="G273" s="231" t="s">
        <v>74</v>
      </c>
      <c r="H273" s="231" t="s">
        <v>69</v>
      </c>
      <c r="K273" s="231" t="s">
        <v>77</v>
      </c>
      <c r="L273" s="231" t="s">
        <v>78</v>
      </c>
      <c r="M273" s="231" t="s">
        <v>515</v>
      </c>
      <c r="N273" s="231" t="s">
        <v>516</v>
      </c>
      <c r="O273" s="232" t="s">
        <v>517</v>
      </c>
      <c r="R273" s="231" t="s">
        <v>568</v>
      </c>
      <c r="S273" s="231" t="s">
        <v>569</v>
      </c>
      <c r="T273" s="231" t="s">
        <v>574</v>
      </c>
      <c r="U273" s="231" t="s">
        <v>573</v>
      </c>
      <c r="V273" s="231" t="s">
        <v>565</v>
      </c>
      <c r="W273" s="231" t="s">
        <v>572</v>
      </c>
      <c r="X273" s="231" t="s">
        <v>566</v>
      </c>
      <c r="Y273" s="231" t="s">
        <v>571</v>
      </c>
      <c r="AA273" s="231">
        <f t="shared" si="272"/>
        <v>0</v>
      </c>
      <c r="AB273" s="231">
        <f t="shared" si="273"/>
        <v>0</v>
      </c>
      <c r="AC273" s="231">
        <f t="shared" si="274"/>
        <v>1</v>
      </c>
      <c r="AD273" s="231">
        <f t="shared" si="275"/>
        <v>1</v>
      </c>
      <c r="AE273" s="231">
        <f t="shared" si="276"/>
        <v>0</v>
      </c>
      <c r="AF273" s="231">
        <f t="shared" si="277"/>
        <v>0</v>
      </c>
      <c r="AG273" s="231">
        <f t="shared" si="278"/>
        <v>1</v>
      </c>
      <c r="AH273" s="231">
        <f t="shared" si="279"/>
        <v>0</v>
      </c>
      <c r="AI273" s="231">
        <f t="shared" si="280"/>
        <v>1</v>
      </c>
      <c r="AJ273" s="231">
        <f t="shared" si="281"/>
        <v>1</v>
      </c>
      <c r="AK273" s="231">
        <f t="shared" si="282"/>
        <v>0</v>
      </c>
      <c r="AL273" s="231">
        <f t="shared" si="283"/>
        <v>0</v>
      </c>
      <c r="AM273" s="231">
        <f t="shared" si="284"/>
        <v>5</v>
      </c>
    </row>
    <row r="274" spans="4:39" x14ac:dyDescent="0.25">
      <c r="D274" s="231">
        <v>116</v>
      </c>
      <c r="F274" s="231" t="s">
        <v>73</v>
      </c>
      <c r="G274" s="231" t="s">
        <v>74</v>
      </c>
      <c r="H274" s="231" t="s">
        <v>69</v>
      </c>
      <c r="J274" s="231" t="s">
        <v>75</v>
      </c>
      <c r="M274" s="231" t="s">
        <v>515</v>
      </c>
      <c r="N274" s="231" t="s">
        <v>516</v>
      </c>
      <c r="O274" s="232" t="s">
        <v>517</v>
      </c>
      <c r="P274" s="231" t="s">
        <v>70</v>
      </c>
      <c r="R274" s="231" t="s">
        <v>573</v>
      </c>
      <c r="S274" s="231" t="s">
        <v>565</v>
      </c>
      <c r="T274" s="231" t="s">
        <v>574</v>
      </c>
      <c r="U274" s="231" t="s">
        <v>572</v>
      </c>
      <c r="V274" s="231" t="s">
        <v>566</v>
      </c>
      <c r="W274" s="231" t="s">
        <v>567</v>
      </c>
      <c r="X274" s="231" t="s">
        <v>570</v>
      </c>
      <c r="Y274" s="231" t="s">
        <v>571</v>
      </c>
      <c r="AA274" s="231">
        <f t="shared" si="272"/>
        <v>0</v>
      </c>
      <c r="AB274" s="231">
        <f t="shared" si="273"/>
        <v>0</v>
      </c>
      <c r="AC274" s="231">
        <f t="shared" si="274"/>
        <v>1</v>
      </c>
      <c r="AD274" s="231">
        <f t="shared" si="275"/>
        <v>1</v>
      </c>
      <c r="AE274" s="231">
        <f t="shared" si="276"/>
        <v>0</v>
      </c>
      <c r="AF274" s="231">
        <f t="shared" si="277"/>
        <v>1</v>
      </c>
      <c r="AG274" s="231">
        <f t="shared" si="278"/>
        <v>0</v>
      </c>
      <c r="AH274" s="231">
        <f t="shared" si="279"/>
        <v>0</v>
      </c>
      <c r="AI274" s="231">
        <f t="shared" si="280"/>
        <v>1</v>
      </c>
      <c r="AJ274" s="231">
        <f t="shared" si="281"/>
        <v>1</v>
      </c>
      <c r="AK274" s="231">
        <f t="shared" si="282"/>
        <v>0</v>
      </c>
      <c r="AL274" s="231">
        <f t="shared" si="283"/>
        <v>1</v>
      </c>
      <c r="AM274" s="231">
        <f t="shared" si="284"/>
        <v>6</v>
      </c>
    </row>
    <row r="275" spans="4:39" x14ac:dyDescent="0.25">
      <c r="D275" s="231">
        <v>117</v>
      </c>
      <c r="F275" s="231" t="s">
        <v>73</v>
      </c>
      <c r="G275" s="231" t="s">
        <v>74</v>
      </c>
      <c r="H275" s="231" t="s">
        <v>69</v>
      </c>
      <c r="J275" s="231" t="s">
        <v>75</v>
      </c>
      <c r="L275" s="231" t="s">
        <v>78</v>
      </c>
      <c r="N275" s="231" t="s">
        <v>516</v>
      </c>
      <c r="O275" s="232" t="s">
        <v>517</v>
      </c>
      <c r="P275" s="231" t="s">
        <v>70</v>
      </c>
      <c r="R275" s="231" t="s">
        <v>573</v>
      </c>
      <c r="S275" s="231" t="s">
        <v>565</v>
      </c>
      <c r="T275" s="231" t="s">
        <v>574</v>
      </c>
      <c r="U275" s="231" t="s">
        <v>572</v>
      </c>
      <c r="V275" s="231" t="s">
        <v>568</v>
      </c>
      <c r="W275" s="231" t="s">
        <v>567</v>
      </c>
      <c r="X275" s="231" t="s">
        <v>570</v>
      </c>
      <c r="Y275" s="231" t="s">
        <v>571</v>
      </c>
      <c r="AA275" s="231">
        <f t="shared" si="272"/>
        <v>0</v>
      </c>
      <c r="AB275" s="231">
        <f t="shared" si="273"/>
        <v>0</v>
      </c>
      <c r="AC275" s="231">
        <f t="shared" si="274"/>
        <v>1</v>
      </c>
      <c r="AD275" s="231">
        <f t="shared" si="275"/>
        <v>1</v>
      </c>
      <c r="AE275" s="231">
        <f t="shared" si="276"/>
        <v>0</v>
      </c>
      <c r="AF275" s="231">
        <f t="shared" si="277"/>
        <v>1</v>
      </c>
      <c r="AG275" s="231">
        <f t="shared" si="278"/>
        <v>0</v>
      </c>
      <c r="AH275" s="231">
        <f t="shared" si="279"/>
        <v>0</v>
      </c>
      <c r="AI275" s="231">
        <f t="shared" si="280"/>
        <v>0</v>
      </c>
      <c r="AJ275" s="231">
        <f t="shared" si="281"/>
        <v>1</v>
      </c>
      <c r="AK275" s="231">
        <f t="shared" si="282"/>
        <v>0</v>
      </c>
      <c r="AL275" s="231">
        <f t="shared" si="283"/>
        <v>1</v>
      </c>
      <c r="AM275" s="231">
        <f t="shared" si="284"/>
        <v>5</v>
      </c>
    </row>
    <row r="276" spans="4:39" x14ac:dyDescent="0.25">
      <c r="D276" s="231">
        <v>118</v>
      </c>
      <c r="F276" s="231" t="s">
        <v>73</v>
      </c>
      <c r="G276" s="231" t="s">
        <v>74</v>
      </c>
      <c r="H276" s="231" t="s">
        <v>69</v>
      </c>
      <c r="J276" s="231" t="s">
        <v>75</v>
      </c>
      <c r="L276" s="231" t="s">
        <v>78</v>
      </c>
      <c r="M276" s="231" t="s">
        <v>515</v>
      </c>
      <c r="O276" s="232" t="s">
        <v>517</v>
      </c>
      <c r="P276" s="231" t="s">
        <v>70</v>
      </c>
      <c r="R276" s="231" t="s">
        <v>573</v>
      </c>
      <c r="S276" s="231" t="s">
        <v>566</v>
      </c>
      <c r="T276" s="231" t="s">
        <v>574</v>
      </c>
      <c r="U276" s="231" t="s">
        <v>572</v>
      </c>
      <c r="V276" s="231" t="s">
        <v>568</v>
      </c>
      <c r="W276" s="231" t="s">
        <v>567</v>
      </c>
      <c r="X276" s="231" t="s">
        <v>570</v>
      </c>
      <c r="Y276" s="231" t="s">
        <v>571</v>
      </c>
      <c r="AA276" s="231">
        <f t="shared" si="272"/>
        <v>0</v>
      </c>
      <c r="AB276" s="231">
        <f t="shared" si="273"/>
        <v>0</v>
      </c>
      <c r="AC276" s="231">
        <f t="shared" si="274"/>
        <v>1</v>
      </c>
      <c r="AD276" s="231">
        <f t="shared" si="275"/>
        <v>1</v>
      </c>
      <c r="AE276" s="231">
        <f t="shared" si="276"/>
        <v>0</v>
      </c>
      <c r="AF276" s="231">
        <f t="shared" si="277"/>
        <v>1</v>
      </c>
      <c r="AG276" s="231">
        <f t="shared" si="278"/>
        <v>0</v>
      </c>
      <c r="AH276" s="231">
        <f t="shared" si="279"/>
        <v>0</v>
      </c>
      <c r="AI276" s="231">
        <f t="shared" si="280"/>
        <v>1</v>
      </c>
      <c r="AJ276" s="231">
        <f t="shared" si="281"/>
        <v>0</v>
      </c>
      <c r="AK276" s="231">
        <f t="shared" si="282"/>
        <v>0</v>
      </c>
      <c r="AL276" s="231">
        <f t="shared" si="283"/>
        <v>1</v>
      </c>
      <c r="AM276" s="231">
        <f t="shared" si="284"/>
        <v>5</v>
      </c>
    </row>
    <row r="277" spans="4:39" x14ac:dyDescent="0.25">
      <c r="D277" s="231">
        <v>119</v>
      </c>
      <c r="F277" s="231" t="s">
        <v>73</v>
      </c>
      <c r="G277" s="231" t="s">
        <v>74</v>
      </c>
      <c r="H277" s="231" t="s">
        <v>69</v>
      </c>
      <c r="J277" s="231" t="s">
        <v>75</v>
      </c>
      <c r="L277" s="231" t="s">
        <v>78</v>
      </c>
      <c r="M277" s="231" t="s">
        <v>515</v>
      </c>
      <c r="N277" s="231" t="s">
        <v>516</v>
      </c>
      <c r="P277" s="231" t="s">
        <v>70</v>
      </c>
      <c r="R277" s="231" t="s">
        <v>573</v>
      </c>
      <c r="S277" s="231" t="s">
        <v>565</v>
      </c>
      <c r="T277" s="231" t="s">
        <v>574</v>
      </c>
      <c r="U277" s="231" t="s">
        <v>572</v>
      </c>
      <c r="V277" s="231" t="s">
        <v>568</v>
      </c>
      <c r="W277" s="231" t="s">
        <v>567</v>
      </c>
      <c r="X277" s="231" t="s">
        <v>570</v>
      </c>
      <c r="Y277" s="231" t="s">
        <v>566</v>
      </c>
      <c r="AA277" s="231">
        <f t="shared" si="272"/>
        <v>0</v>
      </c>
      <c r="AB277" s="231">
        <f t="shared" si="273"/>
        <v>0</v>
      </c>
      <c r="AC277" s="231">
        <f t="shared" si="274"/>
        <v>1</v>
      </c>
      <c r="AD277" s="231">
        <f t="shared" si="275"/>
        <v>1</v>
      </c>
      <c r="AE277" s="231">
        <f t="shared" si="276"/>
        <v>0</v>
      </c>
      <c r="AF277" s="231">
        <f t="shared" si="277"/>
        <v>1</v>
      </c>
      <c r="AG277" s="231">
        <f t="shared" si="278"/>
        <v>0</v>
      </c>
      <c r="AH277" s="231">
        <f t="shared" si="279"/>
        <v>0</v>
      </c>
      <c r="AI277" s="231">
        <f t="shared" si="280"/>
        <v>1</v>
      </c>
      <c r="AJ277" s="231">
        <f t="shared" si="281"/>
        <v>1</v>
      </c>
      <c r="AK277" s="231">
        <f t="shared" si="282"/>
        <v>0</v>
      </c>
      <c r="AL277" s="231">
        <f t="shared" si="283"/>
        <v>1</v>
      </c>
      <c r="AM277" s="231">
        <f t="shared" si="284"/>
        <v>6</v>
      </c>
    </row>
    <row r="278" spans="4:39" x14ac:dyDescent="0.25">
      <c r="D278" s="231">
        <v>120</v>
      </c>
      <c r="F278" s="231" t="s">
        <v>73</v>
      </c>
      <c r="G278" s="231" t="s">
        <v>74</v>
      </c>
      <c r="H278" s="231" t="s">
        <v>69</v>
      </c>
      <c r="J278" s="231" t="s">
        <v>75</v>
      </c>
      <c r="L278" s="231" t="s">
        <v>78</v>
      </c>
      <c r="M278" s="231" t="s">
        <v>515</v>
      </c>
      <c r="N278" s="231" t="s">
        <v>516</v>
      </c>
      <c r="O278" s="232" t="s">
        <v>517</v>
      </c>
      <c r="R278" s="231" t="s">
        <v>573</v>
      </c>
      <c r="S278" s="231" t="s">
        <v>565</v>
      </c>
      <c r="T278" s="231" t="s">
        <v>574</v>
      </c>
      <c r="U278" s="231" t="s">
        <v>572</v>
      </c>
      <c r="V278" s="231" t="s">
        <v>568</v>
      </c>
      <c r="W278" s="231" t="s">
        <v>567</v>
      </c>
      <c r="X278" s="231" t="s">
        <v>566</v>
      </c>
      <c r="Y278" s="231" t="s">
        <v>571</v>
      </c>
      <c r="AA278" s="231">
        <f t="shared" si="272"/>
        <v>0</v>
      </c>
      <c r="AB278" s="231">
        <f t="shared" si="273"/>
        <v>0</v>
      </c>
      <c r="AC278" s="231">
        <f t="shared" si="274"/>
        <v>1</v>
      </c>
      <c r="AD278" s="231">
        <f t="shared" si="275"/>
        <v>1</v>
      </c>
      <c r="AE278" s="231">
        <f t="shared" si="276"/>
        <v>0</v>
      </c>
      <c r="AF278" s="231">
        <f t="shared" si="277"/>
        <v>1</v>
      </c>
      <c r="AG278" s="231">
        <f t="shared" si="278"/>
        <v>0</v>
      </c>
      <c r="AH278" s="231">
        <f t="shared" si="279"/>
        <v>0</v>
      </c>
      <c r="AI278" s="231">
        <f t="shared" si="280"/>
        <v>1</v>
      </c>
      <c r="AJ278" s="231">
        <f t="shared" si="281"/>
        <v>1</v>
      </c>
      <c r="AK278" s="231">
        <f t="shared" si="282"/>
        <v>0</v>
      </c>
      <c r="AL278" s="231">
        <f t="shared" si="283"/>
        <v>0</v>
      </c>
      <c r="AM278" s="231">
        <f t="shared" si="284"/>
        <v>5</v>
      </c>
    </row>
    <row r="279" spans="4:39" x14ac:dyDescent="0.25">
      <c r="D279" s="231">
        <v>121</v>
      </c>
      <c r="F279" s="231" t="s">
        <v>73</v>
      </c>
      <c r="G279" s="231" t="s">
        <v>74</v>
      </c>
      <c r="H279" s="231" t="s">
        <v>69</v>
      </c>
      <c r="J279" s="231" t="s">
        <v>75</v>
      </c>
      <c r="K279" s="231" t="s">
        <v>77</v>
      </c>
      <c r="N279" s="231" t="s">
        <v>516</v>
      </c>
      <c r="O279" s="232" t="s">
        <v>517</v>
      </c>
      <c r="P279" s="231" t="s">
        <v>70</v>
      </c>
      <c r="R279" s="231" t="s">
        <v>573</v>
      </c>
      <c r="S279" s="231" t="s">
        <v>569</v>
      </c>
      <c r="T279" s="231" t="s">
        <v>574</v>
      </c>
      <c r="U279" s="231" t="s">
        <v>572</v>
      </c>
      <c r="V279" s="231" t="s">
        <v>565</v>
      </c>
      <c r="W279" s="231" t="s">
        <v>567</v>
      </c>
      <c r="X279" s="231" t="s">
        <v>570</v>
      </c>
      <c r="Y279" s="231" t="s">
        <v>571</v>
      </c>
      <c r="AA279" s="231">
        <f t="shared" si="272"/>
        <v>0</v>
      </c>
      <c r="AB279" s="231">
        <f t="shared" si="273"/>
        <v>0</v>
      </c>
      <c r="AC279" s="231">
        <f t="shared" si="274"/>
        <v>1</v>
      </c>
      <c r="AD279" s="231">
        <f t="shared" si="275"/>
        <v>1</v>
      </c>
      <c r="AE279" s="231">
        <f t="shared" si="276"/>
        <v>0</v>
      </c>
      <c r="AF279" s="231">
        <f t="shared" si="277"/>
        <v>1</v>
      </c>
      <c r="AG279" s="231">
        <f t="shared" si="278"/>
        <v>1</v>
      </c>
      <c r="AH279" s="231">
        <f t="shared" si="279"/>
        <v>0</v>
      </c>
      <c r="AI279" s="231">
        <f t="shared" si="280"/>
        <v>0</v>
      </c>
      <c r="AJ279" s="231">
        <f t="shared" si="281"/>
        <v>1</v>
      </c>
      <c r="AK279" s="231">
        <f t="shared" si="282"/>
        <v>0</v>
      </c>
      <c r="AL279" s="231">
        <f t="shared" si="283"/>
        <v>1</v>
      </c>
      <c r="AM279" s="231">
        <f t="shared" si="284"/>
        <v>6</v>
      </c>
    </row>
    <row r="280" spans="4:39" x14ac:dyDescent="0.25">
      <c r="D280" s="231">
        <v>122</v>
      </c>
      <c r="F280" s="231" t="s">
        <v>73</v>
      </c>
      <c r="G280" s="231" t="s">
        <v>74</v>
      </c>
      <c r="H280" s="231" t="s">
        <v>69</v>
      </c>
      <c r="J280" s="231" t="s">
        <v>75</v>
      </c>
      <c r="K280" s="231" t="s">
        <v>77</v>
      </c>
      <c r="M280" s="231" t="s">
        <v>515</v>
      </c>
      <c r="O280" s="232" t="s">
        <v>517</v>
      </c>
      <c r="P280" s="231" t="s">
        <v>70</v>
      </c>
      <c r="R280" s="231" t="s">
        <v>573</v>
      </c>
      <c r="S280" s="231" t="s">
        <v>569</v>
      </c>
      <c r="T280" s="231" t="s">
        <v>574</v>
      </c>
      <c r="U280" s="231" t="s">
        <v>572</v>
      </c>
      <c r="V280" s="231" t="s">
        <v>566</v>
      </c>
      <c r="W280" s="231" t="s">
        <v>567</v>
      </c>
      <c r="X280" s="231" t="s">
        <v>570</v>
      </c>
      <c r="Y280" s="231" t="s">
        <v>571</v>
      </c>
      <c r="AA280" s="231">
        <f t="shared" si="272"/>
        <v>0</v>
      </c>
      <c r="AB280" s="231">
        <f t="shared" si="273"/>
        <v>0</v>
      </c>
      <c r="AC280" s="231">
        <f t="shared" si="274"/>
        <v>1</v>
      </c>
      <c r="AD280" s="231">
        <f t="shared" si="275"/>
        <v>1</v>
      </c>
      <c r="AE280" s="231">
        <f t="shared" si="276"/>
        <v>0</v>
      </c>
      <c r="AF280" s="231">
        <f t="shared" si="277"/>
        <v>1</v>
      </c>
      <c r="AG280" s="231">
        <f t="shared" si="278"/>
        <v>1</v>
      </c>
      <c r="AH280" s="231">
        <f t="shared" si="279"/>
        <v>0</v>
      </c>
      <c r="AI280" s="231">
        <f t="shared" si="280"/>
        <v>1</v>
      </c>
      <c r="AJ280" s="231">
        <f t="shared" si="281"/>
        <v>0</v>
      </c>
      <c r="AK280" s="231">
        <f t="shared" si="282"/>
        <v>0</v>
      </c>
      <c r="AL280" s="231">
        <f t="shared" si="283"/>
        <v>1</v>
      </c>
      <c r="AM280" s="231">
        <f t="shared" si="284"/>
        <v>6</v>
      </c>
    </row>
    <row r="281" spans="4:39" x14ac:dyDescent="0.25">
      <c r="D281" s="231">
        <v>123</v>
      </c>
      <c r="F281" s="231" t="s">
        <v>73</v>
      </c>
      <c r="G281" s="231" t="s">
        <v>74</v>
      </c>
      <c r="H281" s="231" t="s">
        <v>69</v>
      </c>
      <c r="J281" s="231" t="s">
        <v>75</v>
      </c>
      <c r="K281" s="231" t="s">
        <v>77</v>
      </c>
      <c r="M281" s="231" t="s">
        <v>515</v>
      </c>
      <c r="N281" s="231" t="s">
        <v>516</v>
      </c>
      <c r="P281" s="231" t="s">
        <v>70</v>
      </c>
      <c r="R281" s="231" t="s">
        <v>573</v>
      </c>
      <c r="S281" s="231" t="s">
        <v>569</v>
      </c>
      <c r="T281" s="231" t="s">
        <v>574</v>
      </c>
      <c r="U281" s="231" t="s">
        <v>572</v>
      </c>
      <c r="V281" s="231" t="s">
        <v>565</v>
      </c>
      <c r="W281" s="231" t="s">
        <v>567</v>
      </c>
      <c r="X281" s="231" t="s">
        <v>570</v>
      </c>
      <c r="Y281" s="231" t="s">
        <v>566</v>
      </c>
      <c r="AA281" s="231">
        <f t="shared" si="272"/>
        <v>0</v>
      </c>
      <c r="AB281" s="231">
        <f t="shared" si="273"/>
        <v>0</v>
      </c>
      <c r="AC281" s="231">
        <f t="shared" si="274"/>
        <v>1</v>
      </c>
      <c r="AD281" s="231">
        <f t="shared" si="275"/>
        <v>1</v>
      </c>
      <c r="AE281" s="231">
        <f t="shared" si="276"/>
        <v>0</v>
      </c>
      <c r="AF281" s="231">
        <f t="shared" si="277"/>
        <v>1</v>
      </c>
      <c r="AG281" s="231">
        <f t="shared" si="278"/>
        <v>1</v>
      </c>
      <c r="AH281" s="231">
        <f t="shared" si="279"/>
        <v>0</v>
      </c>
      <c r="AI281" s="231">
        <f t="shared" si="280"/>
        <v>1</v>
      </c>
      <c r="AJ281" s="231">
        <f t="shared" si="281"/>
        <v>1</v>
      </c>
      <c r="AK281" s="231">
        <f t="shared" si="282"/>
        <v>0</v>
      </c>
      <c r="AL281" s="231">
        <f t="shared" si="283"/>
        <v>1</v>
      </c>
      <c r="AM281" s="231">
        <f t="shared" si="284"/>
        <v>7</v>
      </c>
    </row>
    <row r="282" spans="4:39" x14ac:dyDescent="0.25">
      <c r="D282" s="231">
        <v>124</v>
      </c>
      <c r="F282" s="231" t="s">
        <v>73</v>
      </c>
      <c r="G282" s="231" t="s">
        <v>74</v>
      </c>
      <c r="H282" s="231" t="s">
        <v>69</v>
      </c>
      <c r="J282" s="231" t="s">
        <v>75</v>
      </c>
      <c r="K282" s="231" t="s">
        <v>77</v>
      </c>
      <c r="M282" s="231" t="s">
        <v>515</v>
      </c>
      <c r="N282" s="231" t="s">
        <v>516</v>
      </c>
      <c r="O282" s="232" t="s">
        <v>517</v>
      </c>
      <c r="R282" s="231" t="s">
        <v>573</v>
      </c>
      <c r="S282" s="231" t="s">
        <v>569</v>
      </c>
      <c r="T282" s="231" t="s">
        <v>574</v>
      </c>
      <c r="U282" s="231" t="s">
        <v>572</v>
      </c>
      <c r="V282" s="231" t="s">
        <v>565</v>
      </c>
      <c r="W282" s="231" t="s">
        <v>567</v>
      </c>
      <c r="X282" s="231" t="s">
        <v>566</v>
      </c>
      <c r="Y282" s="231" t="s">
        <v>571</v>
      </c>
      <c r="AA282" s="231">
        <f t="shared" si="272"/>
        <v>0</v>
      </c>
      <c r="AB282" s="231">
        <f t="shared" si="273"/>
        <v>0</v>
      </c>
      <c r="AC282" s="231">
        <f t="shared" si="274"/>
        <v>1</v>
      </c>
      <c r="AD282" s="231">
        <f t="shared" si="275"/>
        <v>1</v>
      </c>
      <c r="AE282" s="231">
        <f t="shared" si="276"/>
        <v>0</v>
      </c>
      <c r="AF282" s="231">
        <f t="shared" si="277"/>
        <v>1</v>
      </c>
      <c r="AG282" s="231">
        <f t="shared" si="278"/>
        <v>1</v>
      </c>
      <c r="AH282" s="231">
        <f t="shared" si="279"/>
        <v>0</v>
      </c>
      <c r="AI282" s="231">
        <f t="shared" si="280"/>
        <v>1</v>
      </c>
      <c r="AJ282" s="231">
        <f t="shared" si="281"/>
        <v>1</v>
      </c>
      <c r="AK282" s="231">
        <f t="shared" si="282"/>
        <v>0</v>
      </c>
      <c r="AL282" s="231">
        <f t="shared" si="283"/>
        <v>0</v>
      </c>
      <c r="AM282" s="231">
        <f t="shared" si="284"/>
        <v>6</v>
      </c>
    </row>
    <row r="283" spans="4:39" x14ac:dyDescent="0.25">
      <c r="D283" s="231">
        <v>125</v>
      </c>
      <c r="F283" s="231" t="s">
        <v>73</v>
      </c>
      <c r="G283" s="231" t="s">
        <v>74</v>
      </c>
      <c r="H283" s="231" t="s">
        <v>69</v>
      </c>
      <c r="J283" s="231" t="s">
        <v>75</v>
      </c>
      <c r="K283" s="231" t="s">
        <v>77</v>
      </c>
      <c r="L283" s="231" t="s">
        <v>78</v>
      </c>
      <c r="O283" s="232" t="s">
        <v>517</v>
      </c>
      <c r="P283" s="231" t="s">
        <v>70</v>
      </c>
      <c r="R283" s="231" t="s">
        <v>573</v>
      </c>
      <c r="S283" s="231" t="s">
        <v>569</v>
      </c>
      <c r="T283" s="231" t="s">
        <v>574</v>
      </c>
      <c r="U283" s="231" t="s">
        <v>572</v>
      </c>
      <c r="V283" s="231" t="s">
        <v>568</v>
      </c>
      <c r="W283" s="231" t="s">
        <v>567</v>
      </c>
      <c r="X283" s="231" t="s">
        <v>570</v>
      </c>
      <c r="Y283" s="231" t="s">
        <v>571</v>
      </c>
      <c r="AA283" s="231">
        <f t="shared" si="272"/>
        <v>0</v>
      </c>
      <c r="AB283" s="231">
        <f t="shared" si="273"/>
        <v>0</v>
      </c>
      <c r="AC283" s="231">
        <f t="shared" si="274"/>
        <v>1</v>
      </c>
      <c r="AD283" s="231">
        <f t="shared" si="275"/>
        <v>1</v>
      </c>
      <c r="AE283" s="231">
        <f t="shared" si="276"/>
        <v>0</v>
      </c>
      <c r="AF283" s="231">
        <f t="shared" si="277"/>
        <v>1</v>
      </c>
      <c r="AG283" s="231">
        <f t="shared" si="278"/>
        <v>1</v>
      </c>
      <c r="AH283" s="231">
        <f t="shared" si="279"/>
        <v>0</v>
      </c>
      <c r="AI283" s="231">
        <f t="shared" si="280"/>
        <v>0</v>
      </c>
      <c r="AJ283" s="231">
        <f t="shared" si="281"/>
        <v>0</v>
      </c>
      <c r="AK283" s="231">
        <f t="shared" si="282"/>
        <v>0</v>
      </c>
      <c r="AL283" s="231">
        <f t="shared" si="283"/>
        <v>1</v>
      </c>
      <c r="AM283" s="231">
        <f t="shared" si="284"/>
        <v>5</v>
      </c>
    </row>
    <row r="284" spans="4:39" x14ac:dyDescent="0.25">
      <c r="D284" s="231">
        <v>126</v>
      </c>
      <c r="F284" s="231" t="s">
        <v>73</v>
      </c>
      <c r="G284" s="231" t="s">
        <v>74</v>
      </c>
      <c r="H284" s="231" t="s">
        <v>69</v>
      </c>
      <c r="J284" s="231" t="s">
        <v>75</v>
      </c>
      <c r="K284" s="231" t="s">
        <v>77</v>
      </c>
      <c r="L284" s="231" t="s">
        <v>78</v>
      </c>
      <c r="N284" s="231" t="s">
        <v>516</v>
      </c>
      <c r="P284" s="231" t="s">
        <v>70</v>
      </c>
      <c r="R284" s="231" t="s">
        <v>573</v>
      </c>
      <c r="S284" s="231" t="s">
        <v>569</v>
      </c>
      <c r="T284" s="231" t="s">
        <v>574</v>
      </c>
      <c r="U284" s="231" t="s">
        <v>572</v>
      </c>
      <c r="V284" s="231" t="s">
        <v>568</v>
      </c>
      <c r="W284" s="231" t="s">
        <v>567</v>
      </c>
      <c r="X284" s="231" t="s">
        <v>570</v>
      </c>
      <c r="Y284" s="231" t="s">
        <v>565</v>
      </c>
      <c r="AA284" s="231">
        <f t="shared" si="272"/>
        <v>0</v>
      </c>
      <c r="AB284" s="231">
        <f t="shared" si="273"/>
        <v>0</v>
      </c>
      <c r="AC284" s="231">
        <f t="shared" si="274"/>
        <v>1</v>
      </c>
      <c r="AD284" s="231">
        <f t="shared" si="275"/>
        <v>1</v>
      </c>
      <c r="AE284" s="231">
        <f t="shared" si="276"/>
        <v>0</v>
      </c>
      <c r="AF284" s="231">
        <f t="shared" si="277"/>
        <v>1</v>
      </c>
      <c r="AG284" s="231">
        <f t="shared" si="278"/>
        <v>1</v>
      </c>
      <c r="AH284" s="231">
        <f t="shared" si="279"/>
        <v>0</v>
      </c>
      <c r="AI284" s="231">
        <f t="shared" si="280"/>
        <v>0</v>
      </c>
      <c r="AJ284" s="231">
        <f t="shared" si="281"/>
        <v>1</v>
      </c>
      <c r="AK284" s="231">
        <f t="shared" si="282"/>
        <v>0</v>
      </c>
      <c r="AL284" s="231">
        <f t="shared" si="283"/>
        <v>1</v>
      </c>
      <c r="AM284" s="231">
        <f t="shared" si="284"/>
        <v>6</v>
      </c>
    </row>
    <row r="285" spans="4:39" x14ac:dyDescent="0.25">
      <c r="D285" s="231">
        <v>127</v>
      </c>
      <c r="F285" s="231" t="s">
        <v>73</v>
      </c>
      <c r="G285" s="231" t="s">
        <v>74</v>
      </c>
      <c r="H285" s="231" t="s">
        <v>69</v>
      </c>
      <c r="J285" s="231" t="s">
        <v>75</v>
      </c>
      <c r="K285" s="231" t="s">
        <v>77</v>
      </c>
      <c r="L285" s="231" t="s">
        <v>78</v>
      </c>
      <c r="N285" s="231" t="s">
        <v>516</v>
      </c>
      <c r="O285" s="232" t="s">
        <v>517</v>
      </c>
      <c r="R285" s="231" t="s">
        <v>568</v>
      </c>
      <c r="S285" s="231" t="s">
        <v>569</v>
      </c>
      <c r="T285" s="231" t="s">
        <v>574</v>
      </c>
      <c r="U285" s="231" t="s">
        <v>573</v>
      </c>
      <c r="V285" s="231" t="s">
        <v>565</v>
      </c>
      <c r="W285" s="231" t="s">
        <v>567</v>
      </c>
      <c r="X285" s="231" t="s">
        <v>572</v>
      </c>
      <c r="Y285" s="231" t="s">
        <v>571</v>
      </c>
      <c r="AA285" s="231">
        <f t="shared" si="272"/>
        <v>0</v>
      </c>
      <c r="AB285" s="231">
        <f t="shared" si="273"/>
        <v>0</v>
      </c>
      <c r="AC285" s="231">
        <f t="shared" si="274"/>
        <v>1</v>
      </c>
      <c r="AD285" s="231">
        <f t="shared" si="275"/>
        <v>1</v>
      </c>
      <c r="AE285" s="231">
        <f t="shared" si="276"/>
        <v>0</v>
      </c>
      <c r="AF285" s="231">
        <f t="shared" si="277"/>
        <v>1</v>
      </c>
      <c r="AG285" s="231">
        <f t="shared" si="278"/>
        <v>1</v>
      </c>
      <c r="AH285" s="231">
        <f t="shared" si="279"/>
        <v>0</v>
      </c>
      <c r="AI285" s="231">
        <f t="shared" si="280"/>
        <v>0</v>
      </c>
      <c r="AJ285" s="231">
        <f t="shared" si="281"/>
        <v>1</v>
      </c>
      <c r="AK285" s="231">
        <f t="shared" si="282"/>
        <v>0</v>
      </c>
      <c r="AL285" s="231">
        <f t="shared" si="283"/>
        <v>0</v>
      </c>
      <c r="AM285" s="231">
        <f t="shared" si="284"/>
        <v>5</v>
      </c>
    </row>
    <row r="286" spans="4:39" x14ac:dyDescent="0.25">
      <c r="D286" s="231">
        <v>128</v>
      </c>
      <c r="F286" s="231" t="s">
        <v>73</v>
      </c>
      <c r="G286" s="231" t="s">
        <v>74</v>
      </c>
      <c r="H286" s="231" t="s">
        <v>69</v>
      </c>
      <c r="J286" s="231" t="s">
        <v>75</v>
      </c>
      <c r="K286" s="231" t="s">
        <v>77</v>
      </c>
      <c r="L286" s="231" t="s">
        <v>78</v>
      </c>
      <c r="M286" s="231" t="s">
        <v>515</v>
      </c>
      <c r="P286" s="231" t="s">
        <v>70</v>
      </c>
      <c r="R286" s="231" t="s">
        <v>573</v>
      </c>
      <c r="S286" s="231" t="s">
        <v>569</v>
      </c>
      <c r="T286" s="231" t="s">
        <v>574</v>
      </c>
      <c r="U286" s="231" t="s">
        <v>572</v>
      </c>
      <c r="V286" s="231" t="s">
        <v>568</v>
      </c>
      <c r="W286" s="231" t="s">
        <v>567</v>
      </c>
      <c r="X286" s="231" t="s">
        <v>570</v>
      </c>
      <c r="Y286" s="231" t="s">
        <v>566</v>
      </c>
      <c r="AA286" s="231">
        <f t="shared" si="272"/>
        <v>0</v>
      </c>
      <c r="AB286" s="231">
        <f t="shared" si="273"/>
        <v>0</v>
      </c>
      <c r="AC286" s="231">
        <f t="shared" si="274"/>
        <v>1</v>
      </c>
      <c r="AD286" s="231">
        <f t="shared" si="275"/>
        <v>1</v>
      </c>
      <c r="AE286" s="231">
        <f t="shared" si="276"/>
        <v>0</v>
      </c>
      <c r="AF286" s="231">
        <f t="shared" si="277"/>
        <v>1</v>
      </c>
      <c r="AG286" s="231">
        <f t="shared" si="278"/>
        <v>1</v>
      </c>
      <c r="AH286" s="231">
        <f t="shared" si="279"/>
        <v>0</v>
      </c>
      <c r="AI286" s="231">
        <f t="shared" si="280"/>
        <v>1</v>
      </c>
      <c r="AJ286" s="231">
        <f t="shared" si="281"/>
        <v>0</v>
      </c>
      <c r="AK286" s="231">
        <f t="shared" si="282"/>
        <v>0</v>
      </c>
      <c r="AL286" s="231">
        <f t="shared" si="283"/>
        <v>1</v>
      </c>
      <c r="AM286" s="231">
        <f t="shared" si="284"/>
        <v>6</v>
      </c>
    </row>
    <row r="287" spans="4:39" x14ac:dyDescent="0.25">
      <c r="D287" s="231">
        <v>129</v>
      </c>
      <c r="F287" s="231" t="s">
        <v>73</v>
      </c>
      <c r="G287" s="231" t="s">
        <v>74</v>
      </c>
      <c r="H287" s="231" t="s">
        <v>69</v>
      </c>
      <c r="J287" s="231" t="s">
        <v>75</v>
      </c>
      <c r="K287" s="231" t="s">
        <v>77</v>
      </c>
      <c r="L287" s="231" t="s">
        <v>78</v>
      </c>
      <c r="M287" s="231" t="s">
        <v>515</v>
      </c>
      <c r="O287" s="232" t="s">
        <v>517</v>
      </c>
      <c r="R287" s="231" t="s">
        <v>573</v>
      </c>
      <c r="S287" s="231" t="s">
        <v>569</v>
      </c>
      <c r="T287" s="231" t="s">
        <v>574</v>
      </c>
      <c r="U287" s="231" t="s">
        <v>572</v>
      </c>
      <c r="V287" s="231" t="s">
        <v>568</v>
      </c>
      <c r="W287" s="231" t="s">
        <v>567</v>
      </c>
      <c r="X287" s="231" t="s">
        <v>566</v>
      </c>
      <c r="Y287" s="231" t="s">
        <v>571</v>
      </c>
      <c r="AA287" s="231">
        <f t="shared" si="272"/>
        <v>0</v>
      </c>
      <c r="AB287" s="231">
        <f t="shared" si="273"/>
        <v>0</v>
      </c>
      <c r="AC287" s="231">
        <f t="shared" si="274"/>
        <v>1</v>
      </c>
      <c r="AD287" s="231">
        <f t="shared" si="275"/>
        <v>1</v>
      </c>
      <c r="AE287" s="231">
        <f t="shared" si="276"/>
        <v>0</v>
      </c>
      <c r="AF287" s="231">
        <f t="shared" si="277"/>
        <v>1</v>
      </c>
      <c r="AG287" s="231">
        <f t="shared" si="278"/>
        <v>1</v>
      </c>
      <c r="AH287" s="231">
        <f t="shared" si="279"/>
        <v>0</v>
      </c>
      <c r="AI287" s="231">
        <f t="shared" si="280"/>
        <v>1</v>
      </c>
      <c r="AJ287" s="231">
        <f t="shared" si="281"/>
        <v>0</v>
      </c>
      <c r="AK287" s="231">
        <f t="shared" si="282"/>
        <v>0</v>
      </c>
      <c r="AL287" s="231">
        <f t="shared" si="283"/>
        <v>0</v>
      </c>
      <c r="AM287" s="231">
        <f t="shared" si="284"/>
        <v>5</v>
      </c>
    </row>
    <row r="288" spans="4:39" x14ac:dyDescent="0.25">
      <c r="D288" s="231">
        <v>130</v>
      </c>
      <c r="F288" s="231" t="s">
        <v>73</v>
      </c>
      <c r="G288" s="231" t="s">
        <v>74</v>
      </c>
      <c r="H288" s="231" t="s">
        <v>69</v>
      </c>
      <c r="J288" s="231" t="s">
        <v>75</v>
      </c>
      <c r="K288" s="231" t="s">
        <v>77</v>
      </c>
      <c r="L288" s="231" t="s">
        <v>78</v>
      </c>
      <c r="M288" s="231" t="s">
        <v>515</v>
      </c>
      <c r="N288" s="231" t="s">
        <v>516</v>
      </c>
      <c r="R288" s="231" t="s">
        <v>568</v>
      </c>
      <c r="S288" s="231" t="s">
        <v>569</v>
      </c>
      <c r="T288" s="231" t="s">
        <v>574</v>
      </c>
      <c r="U288" s="231" t="s">
        <v>573</v>
      </c>
      <c r="V288" s="231" t="s">
        <v>565</v>
      </c>
      <c r="W288" s="231" t="s">
        <v>567</v>
      </c>
      <c r="X288" s="231" t="s">
        <v>572</v>
      </c>
      <c r="Y288" s="231" t="s">
        <v>566</v>
      </c>
      <c r="AA288" s="231">
        <f t="shared" ref="AA288:AA351" si="285">IF(AND(E288&lt;&gt;"",AA$158=1),1,0)</f>
        <v>0</v>
      </c>
      <c r="AB288" s="231">
        <f t="shared" ref="AB288:AB351" si="286">IF(AND(F288&lt;&gt;"",AB$158=1),1,0)</f>
        <v>0</v>
      </c>
      <c r="AC288" s="231">
        <f t="shared" ref="AC288:AC351" si="287">IF(AND(G288&lt;&gt;"",AC$158=1),1,0)</f>
        <v>1</v>
      </c>
      <c r="AD288" s="231">
        <f t="shared" ref="AD288:AD351" si="288">IF(AND(H288&lt;&gt;"",AD$158=1),1,0)</f>
        <v>1</v>
      </c>
      <c r="AE288" s="231">
        <f t="shared" ref="AE288:AE351" si="289">IF(AND(I288&lt;&gt;"",AE$158=1),1,0)</f>
        <v>0</v>
      </c>
      <c r="AF288" s="231">
        <f t="shared" ref="AF288:AF351" si="290">IF(AND(J288&lt;&gt;"",AF$158=1),1,0)</f>
        <v>1</v>
      </c>
      <c r="AG288" s="231">
        <f t="shared" ref="AG288:AG351" si="291">IF(AND(K288&lt;&gt;"",AG$158=1),1,0)</f>
        <v>1</v>
      </c>
      <c r="AH288" s="231">
        <f t="shared" ref="AH288:AH351" si="292">IF(AND(L288&lt;&gt;"",AH$158=1),1,0)</f>
        <v>0</v>
      </c>
      <c r="AI288" s="231">
        <f t="shared" ref="AI288:AI351" si="293">IF(AND(M288&lt;&gt;"",AI$158=1),1,0)</f>
        <v>1</v>
      </c>
      <c r="AJ288" s="231">
        <f t="shared" ref="AJ288:AJ351" si="294">IF(AND(N288&lt;&gt;"",AJ$158=1),1,0)</f>
        <v>1</v>
      </c>
      <c r="AK288" s="231">
        <f t="shared" ref="AK288:AK351" si="295">IF(AND(O288&lt;&gt;"",AK$158=1),1,0)</f>
        <v>0</v>
      </c>
      <c r="AL288" s="231">
        <f t="shared" ref="AL288:AL351" si="296">IF(AND(P288&lt;&gt;"",AL$158=1),1,0)</f>
        <v>0</v>
      </c>
      <c r="AM288" s="231">
        <f t="shared" ref="AM288:AM351" si="297">SUM(AA288:AL288)</f>
        <v>6</v>
      </c>
    </row>
    <row r="289" spans="4:39" x14ac:dyDescent="0.25">
      <c r="D289" s="231">
        <v>131</v>
      </c>
      <c r="F289" s="231" t="s">
        <v>73</v>
      </c>
      <c r="G289" s="231" t="s">
        <v>74</v>
      </c>
      <c r="H289" s="231" t="s">
        <v>69</v>
      </c>
      <c r="I289" s="231" t="s">
        <v>76</v>
      </c>
      <c r="M289" s="231" t="s">
        <v>515</v>
      </c>
      <c r="N289" s="231" t="s">
        <v>516</v>
      </c>
      <c r="O289" s="232" t="s">
        <v>517</v>
      </c>
      <c r="P289" s="231" t="s">
        <v>70</v>
      </c>
      <c r="R289" s="231" t="s">
        <v>564</v>
      </c>
      <c r="S289" s="231" t="s">
        <v>565</v>
      </c>
      <c r="T289" s="231" t="s">
        <v>574</v>
      </c>
      <c r="U289" s="231" t="s">
        <v>573</v>
      </c>
      <c r="V289" s="231" t="s">
        <v>566</v>
      </c>
      <c r="W289" s="231" t="s">
        <v>572</v>
      </c>
      <c r="X289" s="231" t="s">
        <v>570</v>
      </c>
      <c r="Y289" s="231" t="s">
        <v>571</v>
      </c>
      <c r="AA289" s="231">
        <f t="shared" si="285"/>
        <v>0</v>
      </c>
      <c r="AB289" s="231">
        <f t="shared" si="286"/>
        <v>0</v>
      </c>
      <c r="AC289" s="231">
        <f t="shared" si="287"/>
        <v>1</v>
      </c>
      <c r="AD289" s="231">
        <f t="shared" si="288"/>
        <v>1</v>
      </c>
      <c r="AE289" s="231">
        <f t="shared" si="289"/>
        <v>1</v>
      </c>
      <c r="AF289" s="231">
        <f t="shared" si="290"/>
        <v>0</v>
      </c>
      <c r="AG289" s="231">
        <f t="shared" si="291"/>
        <v>0</v>
      </c>
      <c r="AH289" s="231">
        <f t="shared" si="292"/>
        <v>0</v>
      </c>
      <c r="AI289" s="231">
        <f t="shared" si="293"/>
        <v>1</v>
      </c>
      <c r="AJ289" s="231">
        <f t="shared" si="294"/>
        <v>1</v>
      </c>
      <c r="AK289" s="231">
        <f t="shared" si="295"/>
        <v>0</v>
      </c>
      <c r="AL289" s="231">
        <f t="shared" si="296"/>
        <v>1</v>
      </c>
      <c r="AM289" s="231">
        <f t="shared" si="297"/>
        <v>6</v>
      </c>
    </row>
    <row r="290" spans="4:39" x14ac:dyDescent="0.25">
      <c r="D290" s="231">
        <v>132</v>
      </c>
      <c r="F290" s="231" t="s">
        <v>73</v>
      </c>
      <c r="G290" s="231" t="s">
        <v>74</v>
      </c>
      <c r="H290" s="231" t="s">
        <v>69</v>
      </c>
      <c r="I290" s="231" t="s">
        <v>76</v>
      </c>
      <c r="L290" s="231" t="s">
        <v>78</v>
      </c>
      <c r="N290" s="231" t="s">
        <v>516</v>
      </c>
      <c r="O290" s="232" t="s">
        <v>517</v>
      </c>
      <c r="P290" s="231" t="s">
        <v>70</v>
      </c>
      <c r="R290" s="231" t="s">
        <v>564</v>
      </c>
      <c r="S290" s="231" t="s">
        <v>565</v>
      </c>
      <c r="T290" s="231" t="s">
        <v>574</v>
      </c>
      <c r="U290" s="231" t="s">
        <v>573</v>
      </c>
      <c r="V290" s="231" t="s">
        <v>568</v>
      </c>
      <c r="W290" s="231" t="s">
        <v>572</v>
      </c>
      <c r="X290" s="231" t="s">
        <v>570</v>
      </c>
      <c r="Y290" s="231" t="s">
        <v>571</v>
      </c>
      <c r="AA290" s="231">
        <f t="shared" si="285"/>
        <v>0</v>
      </c>
      <c r="AB290" s="231">
        <f t="shared" si="286"/>
        <v>0</v>
      </c>
      <c r="AC290" s="231">
        <f t="shared" si="287"/>
        <v>1</v>
      </c>
      <c r="AD290" s="231">
        <f t="shared" si="288"/>
        <v>1</v>
      </c>
      <c r="AE290" s="231">
        <f t="shared" si="289"/>
        <v>1</v>
      </c>
      <c r="AF290" s="231">
        <f t="shared" si="290"/>
        <v>0</v>
      </c>
      <c r="AG290" s="231">
        <f t="shared" si="291"/>
        <v>0</v>
      </c>
      <c r="AH290" s="231">
        <f t="shared" si="292"/>
        <v>0</v>
      </c>
      <c r="AI290" s="231">
        <f t="shared" si="293"/>
        <v>0</v>
      </c>
      <c r="AJ290" s="231">
        <f t="shared" si="294"/>
        <v>1</v>
      </c>
      <c r="AK290" s="231">
        <f t="shared" si="295"/>
        <v>0</v>
      </c>
      <c r="AL290" s="231">
        <f t="shared" si="296"/>
        <v>1</v>
      </c>
      <c r="AM290" s="231">
        <f t="shared" si="297"/>
        <v>5</v>
      </c>
    </row>
    <row r="291" spans="4:39" x14ac:dyDescent="0.25">
      <c r="D291" s="231">
        <v>133</v>
      </c>
      <c r="F291" s="231" t="s">
        <v>73</v>
      </c>
      <c r="G291" s="231" t="s">
        <v>74</v>
      </c>
      <c r="H291" s="231" t="s">
        <v>69</v>
      </c>
      <c r="I291" s="231" t="s">
        <v>76</v>
      </c>
      <c r="L291" s="231" t="s">
        <v>78</v>
      </c>
      <c r="M291" s="231" t="s">
        <v>515</v>
      </c>
      <c r="O291" s="232" t="s">
        <v>517</v>
      </c>
      <c r="P291" s="231" t="s">
        <v>70</v>
      </c>
      <c r="R291" s="231" t="s">
        <v>564</v>
      </c>
      <c r="S291" s="231" t="s">
        <v>566</v>
      </c>
      <c r="T291" s="231" t="s">
        <v>574</v>
      </c>
      <c r="U291" s="231" t="s">
        <v>573</v>
      </c>
      <c r="V291" s="231" t="s">
        <v>568</v>
      </c>
      <c r="W291" s="231" t="s">
        <v>572</v>
      </c>
      <c r="X291" s="231" t="s">
        <v>570</v>
      </c>
      <c r="Y291" s="231" t="s">
        <v>571</v>
      </c>
      <c r="AA291" s="231">
        <f t="shared" si="285"/>
        <v>0</v>
      </c>
      <c r="AB291" s="231">
        <f t="shared" si="286"/>
        <v>0</v>
      </c>
      <c r="AC291" s="231">
        <f t="shared" si="287"/>
        <v>1</v>
      </c>
      <c r="AD291" s="231">
        <f t="shared" si="288"/>
        <v>1</v>
      </c>
      <c r="AE291" s="231">
        <f t="shared" si="289"/>
        <v>1</v>
      </c>
      <c r="AF291" s="231">
        <f t="shared" si="290"/>
        <v>0</v>
      </c>
      <c r="AG291" s="231">
        <f t="shared" si="291"/>
        <v>0</v>
      </c>
      <c r="AH291" s="231">
        <f t="shared" si="292"/>
        <v>0</v>
      </c>
      <c r="AI291" s="231">
        <f t="shared" si="293"/>
        <v>1</v>
      </c>
      <c r="AJ291" s="231">
        <f t="shared" si="294"/>
        <v>0</v>
      </c>
      <c r="AK291" s="231">
        <f t="shared" si="295"/>
        <v>0</v>
      </c>
      <c r="AL291" s="231">
        <f t="shared" si="296"/>
        <v>1</v>
      </c>
      <c r="AM291" s="231">
        <f t="shared" si="297"/>
        <v>5</v>
      </c>
    </row>
    <row r="292" spans="4:39" x14ac:dyDescent="0.25">
      <c r="D292" s="231">
        <v>134</v>
      </c>
      <c r="F292" s="231" t="s">
        <v>73</v>
      </c>
      <c r="G292" s="231" t="s">
        <v>74</v>
      </c>
      <c r="H292" s="231" t="s">
        <v>69</v>
      </c>
      <c r="I292" s="231" t="s">
        <v>76</v>
      </c>
      <c r="L292" s="231" t="s">
        <v>78</v>
      </c>
      <c r="M292" s="231" t="s">
        <v>515</v>
      </c>
      <c r="N292" s="231" t="s">
        <v>516</v>
      </c>
      <c r="P292" s="231" t="s">
        <v>70</v>
      </c>
      <c r="R292" s="231" t="s">
        <v>564</v>
      </c>
      <c r="S292" s="231" t="s">
        <v>565</v>
      </c>
      <c r="T292" s="231" t="s">
        <v>574</v>
      </c>
      <c r="U292" s="231" t="s">
        <v>573</v>
      </c>
      <c r="V292" s="231" t="s">
        <v>568</v>
      </c>
      <c r="W292" s="231" t="s">
        <v>572</v>
      </c>
      <c r="X292" s="231" t="s">
        <v>570</v>
      </c>
      <c r="Y292" s="231" t="s">
        <v>566</v>
      </c>
      <c r="AA292" s="231">
        <f t="shared" si="285"/>
        <v>0</v>
      </c>
      <c r="AB292" s="231">
        <f t="shared" si="286"/>
        <v>0</v>
      </c>
      <c r="AC292" s="231">
        <f t="shared" si="287"/>
        <v>1</v>
      </c>
      <c r="AD292" s="231">
        <f t="shared" si="288"/>
        <v>1</v>
      </c>
      <c r="AE292" s="231">
        <f t="shared" si="289"/>
        <v>1</v>
      </c>
      <c r="AF292" s="231">
        <f t="shared" si="290"/>
        <v>0</v>
      </c>
      <c r="AG292" s="231">
        <f t="shared" si="291"/>
        <v>0</v>
      </c>
      <c r="AH292" s="231">
        <f t="shared" si="292"/>
        <v>0</v>
      </c>
      <c r="AI292" s="231">
        <f t="shared" si="293"/>
        <v>1</v>
      </c>
      <c r="AJ292" s="231">
        <f t="shared" si="294"/>
        <v>1</v>
      </c>
      <c r="AK292" s="231">
        <f t="shared" si="295"/>
        <v>0</v>
      </c>
      <c r="AL292" s="231">
        <f t="shared" si="296"/>
        <v>1</v>
      </c>
      <c r="AM292" s="231">
        <f t="shared" si="297"/>
        <v>6</v>
      </c>
    </row>
    <row r="293" spans="4:39" x14ac:dyDescent="0.25">
      <c r="D293" s="231">
        <v>135</v>
      </c>
      <c r="F293" s="231" t="s">
        <v>73</v>
      </c>
      <c r="G293" s="231" t="s">
        <v>74</v>
      </c>
      <c r="H293" s="231" t="s">
        <v>69</v>
      </c>
      <c r="I293" s="231" t="s">
        <v>76</v>
      </c>
      <c r="L293" s="231" t="s">
        <v>78</v>
      </c>
      <c r="M293" s="231" t="s">
        <v>515</v>
      </c>
      <c r="N293" s="231" t="s">
        <v>516</v>
      </c>
      <c r="O293" s="232" t="s">
        <v>517</v>
      </c>
      <c r="R293" s="231" t="s">
        <v>564</v>
      </c>
      <c r="S293" s="231" t="s">
        <v>565</v>
      </c>
      <c r="T293" s="231" t="s">
        <v>574</v>
      </c>
      <c r="U293" s="231" t="s">
        <v>573</v>
      </c>
      <c r="V293" s="231" t="s">
        <v>568</v>
      </c>
      <c r="W293" s="231" t="s">
        <v>572</v>
      </c>
      <c r="X293" s="231" t="s">
        <v>566</v>
      </c>
      <c r="Y293" s="231" t="s">
        <v>571</v>
      </c>
      <c r="AA293" s="231">
        <f t="shared" si="285"/>
        <v>0</v>
      </c>
      <c r="AB293" s="231">
        <f t="shared" si="286"/>
        <v>0</v>
      </c>
      <c r="AC293" s="231">
        <f t="shared" si="287"/>
        <v>1</v>
      </c>
      <c r="AD293" s="231">
        <f t="shared" si="288"/>
        <v>1</v>
      </c>
      <c r="AE293" s="231">
        <f t="shared" si="289"/>
        <v>1</v>
      </c>
      <c r="AF293" s="231">
        <f t="shared" si="290"/>
        <v>0</v>
      </c>
      <c r="AG293" s="231">
        <f t="shared" si="291"/>
        <v>0</v>
      </c>
      <c r="AH293" s="231">
        <f t="shared" si="292"/>
        <v>0</v>
      </c>
      <c r="AI293" s="231">
        <f t="shared" si="293"/>
        <v>1</v>
      </c>
      <c r="AJ293" s="231">
        <f t="shared" si="294"/>
        <v>1</v>
      </c>
      <c r="AK293" s="231">
        <f t="shared" si="295"/>
        <v>0</v>
      </c>
      <c r="AL293" s="231">
        <f t="shared" si="296"/>
        <v>0</v>
      </c>
      <c r="AM293" s="231">
        <f t="shared" si="297"/>
        <v>5</v>
      </c>
    </row>
    <row r="294" spans="4:39" x14ac:dyDescent="0.25">
      <c r="D294" s="231">
        <v>136</v>
      </c>
      <c r="F294" s="231" t="s">
        <v>73</v>
      </c>
      <c r="G294" s="231" t="s">
        <v>74</v>
      </c>
      <c r="H294" s="231" t="s">
        <v>69</v>
      </c>
      <c r="I294" s="231" t="s">
        <v>76</v>
      </c>
      <c r="K294" s="231" t="s">
        <v>77</v>
      </c>
      <c r="N294" s="231" t="s">
        <v>516</v>
      </c>
      <c r="O294" s="232" t="s">
        <v>517</v>
      </c>
      <c r="P294" s="231" t="s">
        <v>70</v>
      </c>
      <c r="R294" s="231" t="s">
        <v>564</v>
      </c>
      <c r="S294" s="231" t="s">
        <v>569</v>
      </c>
      <c r="T294" s="231" t="s">
        <v>574</v>
      </c>
      <c r="U294" s="231" t="s">
        <v>573</v>
      </c>
      <c r="V294" s="231" t="s">
        <v>565</v>
      </c>
      <c r="W294" s="231" t="s">
        <v>572</v>
      </c>
      <c r="X294" s="231" t="s">
        <v>570</v>
      </c>
      <c r="Y294" s="231" t="s">
        <v>571</v>
      </c>
      <c r="AA294" s="231">
        <f t="shared" si="285"/>
        <v>0</v>
      </c>
      <c r="AB294" s="231">
        <f t="shared" si="286"/>
        <v>0</v>
      </c>
      <c r="AC294" s="231">
        <f t="shared" si="287"/>
        <v>1</v>
      </c>
      <c r="AD294" s="231">
        <f t="shared" si="288"/>
        <v>1</v>
      </c>
      <c r="AE294" s="231">
        <f t="shared" si="289"/>
        <v>1</v>
      </c>
      <c r="AF294" s="231">
        <f t="shared" si="290"/>
        <v>0</v>
      </c>
      <c r="AG294" s="231">
        <f t="shared" si="291"/>
        <v>1</v>
      </c>
      <c r="AH294" s="231">
        <f t="shared" si="292"/>
        <v>0</v>
      </c>
      <c r="AI294" s="231">
        <f t="shared" si="293"/>
        <v>0</v>
      </c>
      <c r="AJ294" s="231">
        <f t="shared" si="294"/>
        <v>1</v>
      </c>
      <c r="AK294" s="231">
        <f t="shared" si="295"/>
        <v>0</v>
      </c>
      <c r="AL294" s="231">
        <f t="shared" si="296"/>
        <v>1</v>
      </c>
      <c r="AM294" s="231">
        <f t="shared" si="297"/>
        <v>6</v>
      </c>
    </row>
    <row r="295" spans="4:39" x14ac:dyDescent="0.25">
      <c r="D295" s="231">
        <v>137</v>
      </c>
      <c r="F295" s="231" t="s">
        <v>73</v>
      </c>
      <c r="G295" s="231" t="s">
        <v>74</v>
      </c>
      <c r="H295" s="231" t="s">
        <v>69</v>
      </c>
      <c r="I295" s="231" t="s">
        <v>76</v>
      </c>
      <c r="K295" s="231" t="s">
        <v>77</v>
      </c>
      <c r="M295" s="231" t="s">
        <v>515</v>
      </c>
      <c r="O295" s="232" t="s">
        <v>517</v>
      </c>
      <c r="P295" s="231" t="s">
        <v>70</v>
      </c>
      <c r="R295" s="231" t="s">
        <v>564</v>
      </c>
      <c r="S295" s="231" t="s">
        <v>569</v>
      </c>
      <c r="T295" s="231" t="s">
        <v>574</v>
      </c>
      <c r="U295" s="231" t="s">
        <v>573</v>
      </c>
      <c r="V295" s="231" t="s">
        <v>566</v>
      </c>
      <c r="W295" s="231" t="s">
        <v>572</v>
      </c>
      <c r="X295" s="231" t="s">
        <v>570</v>
      </c>
      <c r="Y295" s="231" t="s">
        <v>571</v>
      </c>
      <c r="AA295" s="231">
        <f t="shared" si="285"/>
        <v>0</v>
      </c>
      <c r="AB295" s="231">
        <f t="shared" si="286"/>
        <v>0</v>
      </c>
      <c r="AC295" s="231">
        <f t="shared" si="287"/>
        <v>1</v>
      </c>
      <c r="AD295" s="231">
        <f t="shared" si="288"/>
        <v>1</v>
      </c>
      <c r="AE295" s="231">
        <f t="shared" si="289"/>
        <v>1</v>
      </c>
      <c r="AF295" s="231">
        <f t="shared" si="290"/>
        <v>0</v>
      </c>
      <c r="AG295" s="231">
        <f t="shared" si="291"/>
        <v>1</v>
      </c>
      <c r="AH295" s="231">
        <f t="shared" si="292"/>
        <v>0</v>
      </c>
      <c r="AI295" s="231">
        <f t="shared" si="293"/>
        <v>1</v>
      </c>
      <c r="AJ295" s="231">
        <f t="shared" si="294"/>
        <v>0</v>
      </c>
      <c r="AK295" s="231">
        <f t="shared" si="295"/>
        <v>0</v>
      </c>
      <c r="AL295" s="231">
        <f t="shared" si="296"/>
        <v>1</v>
      </c>
      <c r="AM295" s="231">
        <f t="shared" si="297"/>
        <v>6</v>
      </c>
    </row>
    <row r="296" spans="4:39" x14ac:dyDescent="0.25">
      <c r="D296" s="231">
        <v>138</v>
      </c>
      <c r="F296" s="231" t="s">
        <v>73</v>
      </c>
      <c r="G296" s="231" t="s">
        <v>74</v>
      </c>
      <c r="H296" s="231" t="s">
        <v>69</v>
      </c>
      <c r="I296" s="231" t="s">
        <v>76</v>
      </c>
      <c r="K296" s="231" t="s">
        <v>77</v>
      </c>
      <c r="M296" s="231" t="s">
        <v>515</v>
      </c>
      <c r="N296" s="231" t="s">
        <v>516</v>
      </c>
      <c r="P296" s="231" t="s">
        <v>70</v>
      </c>
      <c r="R296" s="231" t="s">
        <v>564</v>
      </c>
      <c r="S296" s="231" t="s">
        <v>569</v>
      </c>
      <c r="T296" s="231" t="s">
        <v>574</v>
      </c>
      <c r="U296" s="231" t="s">
        <v>573</v>
      </c>
      <c r="V296" s="231" t="s">
        <v>565</v>
      </c>
      <c r="W296" s="231" t="s">
        <v>572</v>
      </c>
      <c r="X296" s="231" t="s">
        <v>570</v>
      </c>
      <c r="Y296" s="231" t="s">
        <v>566</v>
      </c>
      <c r="AA296" s="231">
        <f t="shared" si="285"/>
        <v>0</v>
      </c>
      <c r="AB296" s="231">
        <f t="shared" si="286"/>
        <v>0</v>
      </c>
      <c r="AC296" s="231">
        <f t="shared" si="287"/>
        <v>1</v>
      </c>
      <c r="AD296" s="231">
        <f t="shared" si="288"/>
        <v>1</v>
      </c>
      <c r="AE296" s="231">
        <f t="shared" si="289"/>
        <v>1</v>
      </c>
      <c r="AF296" s="231">
        <f t="shared" si="290"/>
        <v>0</v>
      </c>
      <c r="AG296" s="231">
        <f t="shared" si="291"/>
        <v>1</v>
      </c>
      <c r="AH296" s="231">
        <f t="shared" si="292"/>
        <v>0</v>
      </c>
      <c r="AI296" s="231">
        <f t="shared" si="293"/>
        <v>1</v>
      </c>
      <c r="AJ296" s="231">
        <f t="shared" si="294"/>
        <v>1</v>
      </c>
      <c r="AK296" s="231">
        <f t="shared" si="295"/>
        <v>0</v>
      </c>
      <c r="AL296" s="231">
        <f t="shared" si="296"/>
        <v>1</v>
      </c>
      <c r="AM296" s="231">
        <f t="shared" si="297"/>
        <v>7</v>
      </c>
    </row>
    <row r="297" spans="4:39" x14ac:dyDescent="0.25">
      <c r="D297" s="231">
        <v>139</v>
      </c>
      <c r="F297" s="231" t="s">
        <v>73</v>
      </c>
      <c r="G297" s="231" t="s">
        <v>74</v>
      </c>
      <c r="H297" s="231" t="s">
        <v>69</v>
      </c>
      <c r="I297" s="231" t="s">
        <v>76</v>
      </c>
      <c r="K297" s="231" t="s">
        <v>77</v>
      </c>
      <c r="M297" s="231" t="s">
        <v>515</v>
      </c>
      <c r="N297" s="231" t="s">
        <v>516</v>
      </c>
      <c r="O297" s="232" t="s">
        <v>517</v>
      </c>
      <c r="R297" s="231" t="s">
        <v>564</v>
      </c>
      <c r="S297" s="231" t="s">
        <v>569</v>
      </c>
      <c r="T297" s="231" t="s">
        <v>574</v>
      </c>
      <c r="U297" s="231" t="s">
        <v>573</v>
      </c>
      <c r="V297" s="231" t="s">
        <v>565</v>
      </c>
      <c r="W297" s="231" t="s">
        <v>572</v>
      </c>
      <c r="X297" s="231" t="s">
        <v>566</v>
      </c>
      <c r="Y297" s="231" t="s">
        <v>571</v>
      </c>
      <c r="AA297" s="231">
        <f t="shared" si="285"/>
        <v>0</v>
      </c>
      <c r="AB297" s="231">
        <f t="shared" si="286"/>
        <v>0</v>
      </c>
      <c r="AC297" s="231">
        <f t="shared" si="287"/>
        <v>1</v>
      </c>
      <c r="AD297" s="231">
        <f t="shared" si="288"/>
        <v>1</v>
      </c>
      <c r="AE297" s="231">
        <f t="shared" si="289"/>
        <v>1</v>
      </c>
      <c r="AF297" s="231">
        <f t="shared" si="290"/>
        <v>0</v>
      </c>
      <c r="AG297" s="231">
        <f t="shared" si="291"/>
        <v>1</v>
      </c>
      <c r="AH297" s="231">
        <f t="shared" si="292"/>
        <v>0</v>
      </c>
      <c r="AI297" s="231">
        <f t="shared" si="293"/>
        <v>1</v>
      </c>
      <c r="AJ297" s="231">
        <f t="shared" si="294"/>
        <v>1</v>
      </c>
      <c r="AK297" s="231">
        <f t="shared" si="295"/>
        <v>0</v>
      </c>
      <c r="AL297" s="231">
        <f t="shared" si="296"/>
        <v>0</v>
      </c>
      <c r="AM297" s="231">
        <f t="shared" si="297"/>
        <v>6</v>
      </c>
    </row>
    <row r="298" spans="4:39" x14ac:dyDescent="0.25">
      <c r="D298" s="231">
        <v>140</v>
      </c>
      <c r="F298" s="231" t="s">
        <v>73</v>
      </c>
      <c r="G298" s="231" t="s">
        <v>74</v>
      </c>
      <c r="H298" s="231" t="s">
        <v>69</v>
      </c>
      <c r="I298" s="231" t="s">
        <v>76</v>
      </c>
      <c r="K298" s="231" t="s">
        <v>77</v>
      </c>
      <c r="L298" s="231" t="s">
        <v>78</v>
      </c>
      <c r="O298" s="232" t="s">
        <v>517</v>
      </c>
      <c r="P298" s="231" t="s">
        <v>70</v>
      </c>
      <c r="R298" s="231" t="s">
        <v>564</v>
      </c>
      <c r="S298" s="231" t="s">
        <v>569</v>
      </c>
      <c r="T298" s="231" t="s">
        <v>574</v>
      </c>
      <c r="U298" s="231" t="s">
        <v>573</v>
      </c>
      <c r="V298" s="231" t="s">
        <v>568</v>
      </c>
      <c r="W298" s="231" t="s">
        <v>572</v>
      </c>
      <c r="X298" s="231" t="s">
        <v>570</v>
      </c>
      <c r="Y298" s="231" t="s">
        <v>571</v>
      </c>
      <c r="AA298" s="231">
        <f t="shared" si="285"/>
        <v>0</v>
      </c>
      <c r="AB298" s="231">
        <f t="shared" si="286"/>
        <v>0</v>
      </c>
      <c r="AC298" s="231">
        <f t="shared" si="287"/>
        <v>1</v>
      </c>
      <c r="AD298" s="231">
        <f t="shared" si="288"/>
        <v>1</v>
      </c>
      <c r="AE298" s="231">
        <f t="shared" si="289"/>
        <v>1</v>
      </c>
      <c r="AF298" s="231">
        <f t="shared" si="290"/>
        <v>0</v>
      </c>
      <c r="AG298" s="231">
        <f t="shared" si="291"/>
        <v>1</v>
      </c>
      <c r="AH298" s="231">
        <f t="shared" si="292"/>
        <v>0</v>
      </c>
      <c r="AI298" s="231">
        <f t="shared" si="293"/>
        <v>0</v>
      </c>
      <c r="AJ298" s="231">
        <f t="shared" si="294"/>
        <v>0</v>
      </c>
      <c r="AK298" s="231">
        <f t="shared" si="295"/>
        <v>0</v>
      </c>
      <c r="AL298" s="231">
        <f t="shared" si="296"/>
        <v>1</v>
      </c>
      <c r="AM298" s="231">
        <f t="shared" si="297"/>
        <v>5</v>
      </c>
    </row>
    <row r="299" spans="4:39" x14ac:dyDescent="0.25">
      <c r="D299" s="231">
        <v>141</v>
      </c>
      <c r="F299" s="231" t="s">
        <v>73</v>
      </c>
      <c r="G299" s="231" t="s">
        <v>74</v>
      </c>
      <c r="H299" s="231" t="s">
        <v>69</v>
      </c>
      <c r="I299" s="231" t="s">
        <v>76</v>
      </c>
      <c r="K299" s="231" t="s">
        <v>77</v>
      </c>
      <c r="L299" s="231" t="s">
        <v>78</v>
      </c>
      <c r="N299" s="231" t="s">
        <v>516</v>
      </c>
      <c r="P299" s="231" t="s">
        <v>70</v>
      </c>
      <c r="R299" s="231" t="s">
        <v>568</v>
      </c>
      <c r="S299" s="231" t="s">
        <v>569</v>
      </c>
      <c r="T299" s="231" t="s">
        <v>574</v>
      </c>
      <c r="U299" s="231" t="s">
        <v>573</v>
      </c>
      <c r="V299" s="231" t="s">
        <v>565</v>
      </c>
      <c r="W299" s="231" t="s">
        <v>572</v>
      </c>
      <c r="X299" s="231" t="s">
        <v>570</v>
      </c>
      <c r="Y299" s="231" t="s">
        <v>564</v>
      </c>
      <c r="AA299" s="231">
        <f t="shared" si="285"/>
        <v>0</v>
      </c>
      <c r="AB299" s="231">
        <f t="shared" si="286"/>
        <v>0</v>
      </c>
      <c r="AC299" s="231">
        <f t="shared" si="287"/>
        <v>1</v>
      </c>
      <c r="AD299" s="231">
        <f t="shared" si="288"/>
        <v>1</v>
      </c>
      <c r="AE299" s="231">
        <f t="shared" si="289"/>
        <v>1</v>
      </c>
      <c r="AF299" s="231">
        <f t="shared" si="290"/>
        <v>0</v>
      </c>
      <c r="AG299" s="231">
        <f t="shared" si="291"/>
        <v>1</v>
      </c>
      <c r="AH299" s="231">
        <f t="shared" si="292"/>
        <v>0</v>
      </c>
      <c r="AI299" s="231">
        <f t="shared" si="293"/>
        <v>0</v>
      </c>
      <c r="AJ299" s="231">
        <f t="shared" si="294"/>
        <v>1</v>
      </c>
      <c r="AK299" s="231">
        <f t="shared" si="295"/>
        <v>0</v>
      </c>
      <c r="AL299" s="231">
        <f t="shared" si="296"/>
        <v>1</v>
      </c>
      <c r="AM299" s="231">
        <f t="shared" si="297"/>
        <v>6</v>
      </c>
    </row>
    <row r="300" spans="4:39" x14ac:dyDescent="0.25">
      <c r="D300" s="231">
        <v>142</v>
      </c>
      <c r="F300" s="231" t="s">
        <v>73</v>
      </c>
      <c r="G300" s="231" t="s">
        <v>74</v>
      </c>
      <c r="H300" s="231" t="s">
        <v>69</v>
      </c>
      <c r="I300" s="231" t="s">
        <v>76</v>
      </c>
      <c r="K300" s="231" t="s">
        <v>77</v>
      </c>
      <c r="L300" s="231" t="s">
        <v>78</v>
      </c>
      <c r="N300" s="231" t="s">
        <v>516</v>
      </c>
      <c r="O300" s="232" t="s">
        <v>517</v>
      </c>
      <c r="R300" s="231" t="s">
        <v>568</v>
      </c>
      <c r="S300" s="231" t="s">
        <v>569</v>
      </c>
      <c r="T300" s="231" t="s">
        <v>574</v>
      </c>
      <c r="U300" s="231" t="s">
        <v>573</v>
      </c>
      <c r="V300" s="231" t="s">
        <v>565</v>
      </c>
      <c r="W300" s="231" t="s">
        <v>572</v>
      </c>
      <c r="X300" s="231" t="s">
        <v>564</v>
      </c>
      <c r="Y300" s="231" t="s">
        <v>571</v>
      </c>
      <c r="AA300" s="231">
        <f t="shared" si="285"/>
        <v>0</v>
      </c>
      <c r="AB300" s="231">
        <f t="shared" si="286"/>
        <v>0</v>
      </c>
      <c r="AC300" s="231">
        <f t="shared" si="287"/>
        <v>1</v>
      </c>
      <c r="AD300" s="231">
        <f t="shared" si="288"/>
        <v>1</v>
      </c>
      <c r="AE300" s="231">
        <f t="shared" si="289"/>
        <v>1</v>
      </c>
      <c r="AF300" s="231">
        <f t="shared" si="290"/>
        <v>0</v>
      </c>
      <c r="AG300" s="231">
        <f t="shared" si="291"/>
        <v>1</v>
      </c>
      <c r="AH300" s="231">
        <f t="shared" si="292"/>
        <v>0</v>
      </c>
      <c r="AI300" s="231">
        <f t="shared" si="293"/>
        <v>0</v>
      </c>
      <c r="AJ300" s="231">
        <f t="shared" si="294"/>
        <v>1</v>
      </c>
      <c r="AK300" s="231">
        <f t="shared" si="295"/>
        <v>0</v>
      </c>
      <c r="AL300" s="231">
        <f t="shared" si="296"/>
        <v>0</v>
      </c>
      <c r="AM300" s="231">
        <f t="shared" si="297"/>
        <v>5</v>
      </c>
    </row>
    <row r="301" spans="4:39" x14ac:dyDescent="0.25">
      <c r="D301" s="231">
        <v>143</v>
      </c>
      <c r="F301" s="231" t="s">
        <v>73</v>
      </c>
      <c r="G301" s="231" t="s">
        <v>74</v>
      </c>
      <c r="H301" s="231" t="s">
        <v>69</v>
      </c>
      <c r="I301" s="231" t="s">
        <v>76</v>
      </c>
      <c r="K301" s="231" t="s">
        <v>77</v>
      </c>
      <c r="L301" s="231" t="s">
        <v>78</v>
      </c>
      <c r="M301" s="231" t="s">
        <v>515</v>
      </c>
      <c r="P301" s="231" t="s">
        <v>70</v>
      </c>
      <c r="R301" s="231" t="s">
        <v>564</v>
      </c>
      <c r="S301" s="231" t="s">
        <v>569</v>
      </c>
      <c r="T301" s="231" t="s">
        <v>574</v>
      </c>
      <c r="U301" s="231" t="s">
        <v>573</v>
      </c>
      <c r="V301" s="231" t="s">
        <v>568</v>
      </c>
      <c r="W301" s="231" t="s">
        <v>572</v>
      </c>
      <c r="X301" s="231" t="s">
        <v>570</v>
      </c>
      <c r="Y301" s="231" t="s">
        <v>566</v>
      </c>
      <c r="AA301" s="231">
        <f t="shared" si="285"/>
        <v>0</v>
      </c>
      <c r="AB301" s="231">
        <f t="shared" si="286"/>
        <v>0</v>
      </c>
      <c r="AC301" s="231">
        <f t="shared" si="287"/>
        <v>1</v>
      </c>
      <c r="AD301" s="231">
        <f t="shared" si="288"/>
        <v>1</v>
      </c>
      <c r="AE301" s="231">
        <f t="shared" si="289"/>
        <v>1</v>
      </c>
      <c r="AF301" s="231">
        <f t="shared" si="290"/>
        <v>0</v>
      </c>
      <c r="AG301" s="231">
        <f t="shared" si="291"/>
        <v>1</v>
      </c>
      <c r="AH301" s="231">
        <f t="shared" si="292"/>
        <v>0</v>
      </c>
      <c r="AI301" s="231">
        <f t="shared" si="293"/>
        <v>1</v>
      </c>
      <c r="AJ301" s="231">
        <f t="shared" si="294"/>
        <v>0</v>
      </c>
      <c r="AK301" s="231">
        <f t="shared" si="295"/>
        <v>0</v>
      </c>
      <c r="AL301" s="231">
        <f t="shared" si="296"/>
        <v>1</v>
      </c>
      <c r="AM301" s="231">
        <f t="shared" si="297"/>
        <v>6</v>
      </c>
    </row>
    <row r="302" spans="4:39" x14ac:dyDescent="0.25">
      <c r="D302" s="231">
        <v>144</v>
      </c>
      <c r="F302" s="231" t="s">
        <v>73</v>
      </c>
      <c r="G302" s="231" t="s">
        <v>74</v>
      </c>
      <c r="H302" s="231" t="s">
        <v>69</v>
      </c>
      <c r="I302" s="231" t="s">
        <v>76</v>
      </c>
      <c r="K302" s="231" t="s">
        <v>77</v>
      </c>
      <c r="L302" s="231" t="s">
        <v>78</v>
      </c>
      <c r="M302" s="231" t="s">
        <v>515</v>
      </c>
      <c r="O302" s="232" t="s">
        <v>517</v>
      </c>
      <c r="R302" s="231" t="s">
        <v>564</v>
      </c>
      <c r="S302" s="231" t="s">
        <v>569</v>
      </c>
      <c r="T302" s="231" t="s">
        <v>574</v>
      </c>
      <c r="U302" s="231" t="s">
        <v>573</v>
      </c>
      <c r="V302" s="231" t="s">
        <v>568</v>
      </c>
      <c r="W302" s="231" t="s">
        <v>572</v>
      </c>
      <c r="X302" s="231" t="s">
        <v>566</v>
      </c>
      <c r="Y302" s="231" t="s">
        <v>571</v>
      </c>
      <c r="AA302" s="231">
        <f t="shared" si="285"/>
        <v>0</v>
      </c>
      <c r="AB302" s="231">
        <f t="shared" si="286"/>
        <v>0</v>
      </c>
      <c r="AC302" s="231">
        <f t="shared" si="287"/>
        <v>1</v>
      </c>
      <c r="AD302" s="231">
        <f t="shared" si="288"/>
        <v>1</v>
      </c>
      <c r="AE302" s="231">
        <f t="shared" si="289"/>
        <v>1</v>
      </c>
      <c r="AF302" s="231">
        <f t="shared" si="290"/>
        <v>0</v>
      </c>
      <c r="AG302" s="231">
        <f t="shared" si="291"/>
        <v>1</v>
      </c>
      <c r="AH302" s="231">
        <f t="shared" si="292"/>
        <v>0</v>
      </c>
      <c r="AI302" s="231">
        <f t="shared" si="293"/>
        <v>1</v>
      </c>
      <c r="AJ302" s="231">
        <f t="shared" si="294"/>
        <v>0</v>
      </c>
      <c r="AK302" s="231">
        <f t="shared" si="295"/>
        <v>0</v>
      </c>
      <c r="AL302" s="231">
        <f t="shared" si="296"/>
        <v>0</v>
      </c>
      <c r="AM302" s="231">
        <f t="shared" si="297"/>
        <v>5</v>
      </c>
    </row>
    <row r="303" spans="4:39" x14ac:dyDescent="0.25">
      <c r="D303" s="231">
        <v>145</v>
      </c>
      <c r="F303" s="231" t="s">
        <v>73</v>
      </c>
      <c r="G303" s="231" t="s">
        <v>74</v>
      </c>
      <c r="H303" s="231" t="s">
        <v>69</v>
      </c>
      <c r="I303" s="231" t="s">
        <v>76</v>
      </c>
      <c r="K303" s="231" t="s">
        <v>77</v>
      </c>
      <c r="L303" s="231" t="s">
        <v>78</v>
      </c>
      <c r="M303" s="231" t="s">
        <v>515</v>
      </c>
      <c r="N303" s="231" t="s">
        <v>516</v>
      </c>
      <c r="R303" s="231" t="s">
        <v>568</v>
      </c>
      <c r="S303" s="231" t="s">
        <v>569</v>
      </c>
      <c r="T303" s="231" t="s">
        <v>574</v>
      </c>
      <c r="U303" s="231" t="s">
        <v>573</v>
      </c>
      <c r="V303" s="231" t="s">
        <v>565</v>
      </c>
      <c r="W303" s="231" t="s">
        <v>572</v>
      </c>
      <c r="X303" s="231" t="s">
        <v>564</v>
      </c>
      <c r="Y303" s="231" t="s">
        <v>566</v>
      </c>
      <c r="AA303" s="231">
        <f t="shared" si="285"/>
        <v>0</v>
      </c>
      <c r="AB303" s="231">
        <f t="shared" si="286"/>
        <v>0</v>
      </c>
      <c r="AC303" s="231">
        <f t="shared" si="287"/>
        <v>1</v>
      </c>
      <c r="AD303" s="231">
        <f t="shared" si="288"/>
        <v>1</v>
      </c>
      <c r="AE303" s="231">
        <f t="shared" si="289"/>
        <v>1</v>
      </c>
      <c r="AF303" s="231">
        <f t="shared" si="290"/>
        <v>0</v>
      </c>
      <c r="AG303" s="231">
        <f t="shared" si="291"/>
        <v>1</v>
      </c>
      <c r="AH303" s="231">
        <f t="shared" si="292"/>
        <v>0</v>
      </c>
      <c r="AI303" s="231">
        <f t="shared" si="293"/>
        <v>1</v>
      </c>
      <c r="AJ303" s="231">
        <f t="shared" si="294"/>
        <v>1</v>
      </c>
      <c r="AK303" s="231">
        <f t="shared" si="295"/>
        <v>0</v>
      </c>
      <c r="AL303" s="231">
        <f t="shared" si="296"/>
        <v>0</v>
      </c>
      <c r="AM303" s="231">
        <f t="shared" si="297"/>
        <v>6</v>
      </c>
    </row>
    <row r="304" spans="4:39" x14ac:dyDescent="0.25">
      <c r="D304" s="231">
        <v>146</v>
      </c>
      <c r="F304" s="231" t="s">
        <v>73</v>
      </c>
      <c r="G304" s="231" t="s">
        <v>74</v>
      </c>
      <c r="H304" s="231" t="s">
        <v>69</v>
      </c>
      <c r="I304" s="231" t="s">
        <v>76</v>
      </c>
      <c r="J304" s="231" t="s">
        <v>75</v>
      </c>
      <c r="N304" s="231" t="s">
        <v>516</v>
      </c>
      <c r="O304" s="232" t="s">
        <v>517</v>
      </c>
      <c r="P304" s="231" t="s">
        <v>70</v>
      </c>
      <c r="R304" s="231" t="s">
        <v>573</v>
      </c>
      <c r="S304" s="231" t="s">
        <v>565</v>
      </c>
      <c r="T304" s="231" t="s">
        <v>574</v>
      </c>
      <c r="U304" s="231" t="s">
        <v>572</v>
      </c>
      <c r="V304" s="231" t="s">
        <v>564</v>
      </c>
      <c r="W304" s="231" t="s">
        <v>567</v>
      </c>
      <c r="X304" s="231" t="s">
        <v>570</v>
      </c>
      <c r="Y304" s="231" t="s">
        <v>571</v>
      </c>
      <c r="AA304" s="231">
        <f t="shared" si="285"/>
        <v>0</v>
      </c>
      <c r="AB304" s="231">
        <f t="shared" si="286"/>
        <v>0</v>
      </c>
      <c r="AC304" s="231">
        <f t="shared" si="287"/>
        <v>1</v>
      </c>
      <c r="AD304" s="231">
        <f t="shared" si="288"/>
        <v>1</v>
      </c>
      <c r="AE304" s="231">
        <f t="shared" si="289"/>
        <v>1</v>
      </c>
      <c r="AF304" s="231">
        <f t="shared" si="290"/>
        <v>1</v>
      </c>
      <c r="AG304" s="231">
        <f t="shared" si="291"/>
        <v>0</v>
      </c>
      <c r="AH304" s="231">
        <f t="shared" si="292"/>
        <v>0</v>
      </c>
      <c r="AI304" s="231">
        <f t="shared" si="293"/>
        <v>0</v>
      </c>
      <c r="AJ304" s="231">
        <f t="shared" si="294"/>
        <v>1</v>
      </c>
      <c r="AK304" s="231">
        <f t="shared" si="295"/>
        <v>0</v>
      </c>
      <c r="AL304" s="231">
        <f t="shared" si="296"/>
        <v>1</v>
      </c>
      <c r="AM304" s="231">
        <f t="shared" si="297"/>
        <v>6</v>
      </c>
    </row>
    <row r="305" spans="4:39" x14ac:dyDescent="0.25">
      <c r="D305" s="231">
        <v>147</v>
      </c>
      <c r="F305" s="231" t="s">
        <v>73</v>
      </c>
      <c r="G305" s="231" t="s">
        <v>74</v>
      </c>
      <c r="H305" s="231" t="s">
        <v>69</v>
      </c>
      <c r="I305" s="231" t="s">
        <v>76</v>
      </c>
      <c r="J305" s="231" t="s">
        <v>75</v>
      </c>
      <c r="M305" s="231" t="s">
        <v>515</v>
      </c>
      <c r="O305" s="232" t="s">
        <v>517</v>
      </c>
      <c r="P305" s="231" t="s">
        <v>70</v>
      </c>
      <c r="R305" s="231" t="s">
        <v>573</v>
      </c>
      <c r="S305" s="231" t="s">
        <v>564</v>
      </c>
      <c r="T305" s="231" t="s">
        <v>574</v>
      </c>
      <c r="U305" s="231" t="s">
        <v>572</v>
      </c>
      <c r="V305" s="231" t="s">
        <v>566</v>
      </c>
      <c r="W305" s="231" t="s">
        <v>567</v>
      </c>
      <c r="X305" s="231" t="s">
        <v>570</v>
      </c>
      <c r="Y305" s="231" t="s">
        <v>571</v>
      </c>
      <c r="AA305" s="231">
        <f t="shared" si="285"/>
        <v>0</v>
      </c>
      <c r="AB305" s="231">
        <f t="shared" si="286"/>
        <v>0</v>
      </c>
      <c r="AC305" s="231">
        <f t="shared" si="287"/>
        <v>1</v>
      </c>
      <c r="AD305" s="231">
        <f t="shared" si="288"/>
        <v>1</v>
      </c>
      <c r="AE305" s="231">
        <f t="shared" si="289"/>
        <v>1</v>
      </c>
      <c r="AF305" s="231">
        <f t="shared" si="290"/>
        <v>1</v>
      </c>
      <c r="AG305" s="231">
        <f t="shared" si="291"/>
        <v>0</v>
      </c>
      <c r="AH305" s="231">
        <f t="shared" si="292"/>
        <v>0</v>
      </c>
      <c r="AI305" s="231">
        <f t="shared" si="293"/>
        <v>1</v>
      </c>
      <c r="AJ305" s="231">
        <f t="shared" si="294"/>
        <v>0</v>
      </c>
      <c r="AK305" s="231">
        <f t="shared" si="295"/>
        <v>0</v>
      </c>
      <c r="AL305" s="231">
        <f t="shared" si="296"/>
        <v>1</v>
      </c>
      <c r="AM305" s="231">
        <f t="shared" si="297"/>
        <v>6</v>
      </c>
    </row>
    <row r="306" spans="4:39" x14ac:dyDescent="0.25">
      <c r="D306" s="231">
        <v>148</v>
      </c>
      <c r="F306" s="231" t="s">
        <v>73</v>
      </c>
      <c r="G306" s="231" t="s">
        <v>74</v>
      </c>
      <c r="H306" s="231" t="s">
        <v>69</v>
      </c>
      <c r="I306" s="231" t="s">
        <v>76</v>
      </c>
      <c r="J306" s="231" t="s">
        <v>75</v>
      </c>
      <c r="M306" s="231" t="s">
        <v>515</v>
      </c>
      <c r="N306" s="231" t="s">
        <v>516</v>
      </c>
      <c r="P306" s="231" t="s">
        <v>70</v>
      </c>
      <c r="R306" s="231" t="s">
        <v>573</v>
      </c>
      <c r="S306" s="231" t="s">
        <v>565</v>
      </c>
      <c r="T306" s="231" t="s">
        <v>574</v>
      </c>
      <c r="U306" s="231" t="s">
        <v>572</v>
      </c>
      <c r="V306" s="231" t="s">
        <v>564</v>
      </c>
      <c r="W306" s="231" t="s">
        <v>567</v>
      </c>
      <c r="X306" s="231" t="s">
        <v>570</v>
      </c>
      <c r="Y306" s="231" t="s">
        <v>566</v>
      </c>
      <c r="AA306" s="231">
        <f t="shared" si="285"/>
        <v>0</v>
      </c>
      <c r="AB306" s="231">
        <f t="shared" si="286"/>
        <v>0</v>
      </c>
      <c r="AC306" s="231">
        <f t="shared" si="287"/>
        <v>1</v>
      </c>
      <c r="AD306" s="231">
        <f t="shared" si="288"/>
        <v>1</v>
      </c>
      <c r="AE306" s="231">
        <f t="shared" si="289"/>
        <v>1</v>
      </c>
      <c r="AF306" s="231">
        <f t="shared" si="290"/>
        <v>1</v>
      </c>
      <c r="AG306" s="231">
        <f t="shared" si="291"/>
        <v>0</v>
      </c>
      <c r="AH306" s="231">
        <f t="shared" si="292"/>
        <v>0</v>
      </c>
      <c r="AI306" s="231">
        <f t="shared" si="293"/>
        <v>1</v>
      </c>
      <c r="AJ306" s="231">
        <f t="shared" si="294"/>
        <v>1</v>
      </c>
      <c r="AK306" s="231">
        <f t="shared" si="295"/>
        <v>0</v>
      </c>
      <c r="AL306" s="231">
        <f t="shared" si="296"/>
        <v>1</v>
      </c>
      <c r="AM306" s="231">
        <f t="shared" si="297"/>
        <v>7</v>
      </c>
    </row>
    <row r="307" spans="4:39" x14ac:dyDescent="0.25">
      <c r="D307" s="231">
        <v>149</v>
      </c>
      <c r="F307" s="231" t="s">
        <v>73</v>
      </c>
      <c r="G307" s="231" t="s">
        <v>74</v>
      </c>
      <c r="H307" s="231" t="s">
        <v>69</v>
      </c>
      <c r="I307" s="231" t="s">
        <v>76</v>
      </c>
      <c r="J307" s="231" t="s">
        <v>75</v>
      </c>
      <c r="M307" s="231" t="s">
        <v>515</v>
      </c>
      <c r="N307" s="231" t="s">
        <v>516</v>
      </c>
      <c r="O307" s="232" t="s">
        <v>517</v>
      </c>
      <c r="R307" s="231" t="s">
        <v>573</v>
      </c>
      <c r="S307" s="231" t="s">
        <v>565</v>
      </c>
      <c r="T307" s="231" t="s">
        <v>574</v>
      </c>
      <c r="U307" s="231" t="s">
        <v>572</v>
      </c>
      <c r="V307" s="231" t="s">
        <v>564</v>
      </c>
      <c r="W307" s="231" t="s">
        <v>567</v>
      </c>
      <c r="X307" s="231" t="s">
        <v>566</v>
      </c>
      <c r="Y307" s="231" t="s">
        <v>571</v>
      </c>
      <c r="AA307" s="231">
        <f t="shared" si="285"/>
        <v>0</v>
      </c>
      <c r="AB307" s="231">
        <f t="shared" si="286"/>
        <v>0</v>
      </c>
      <c r="AC307" s="231">
        <f t="shared" si="287"/>
        <v>1</v>
      </c>
      <c r="AD307" s="231">
        <f t="shared" si="288"/>
        <v>1</v>
      </c>
      <c r="AE307" s="231">
        <f t="shared" si="289"/>
        <v>1</v>
      </c>
      <c r="AF307" s="231">
        <f t="shared" si="290"/>
        <v>1</v>
      </c>
      <c r="AG307" s="231">
        <f t="shared" si="291"/>
        <v>0</v>
      </c>
      <c r="AH307" s="231">
        <f t="shared" si="292"/>
        <v>0</v>
      </c>
      <c r="AI307" s="231">
        <f t="shared" si="293"/>
        <v>1</v>
      </c>
      <c r="AJ307" s="231">
        <f t="shared" si="294"/>
        <v>1</v>
      </c>
      <c r="AK307" s="231">
        <f t="shared" si="295"/>
        <v>0</v>
      </c>
      <c r="AL307" s="231">
        <f t="shared" si="296"/>
        <v>0</v>
      </c>
      <c r="AM307" s="231">
        <f t="shared" si="297"/>
        <v>6</v>
      </c>
    </row>
    <row r="308" spans="4:39" x14ac:dyDescent="0.25">
      <c r="D308" s="231">
        <v>150</v>
      </c>
      <c r="F308" s="231" t="s">
        <v>73</v>
      </c>
      <c r="G308" s="231" t="s">
        <v>74</v>
      </c>
      <c r="H308" s="231" t="s">
        <v>69</v>
      </c>
      <c r="I308" s="231" t="s">
        <v>76</v>
      </c>
      <c r="J308" s="231" t="s">
        <v>75</v>
      </c>
      <c r="L308" s="231" t="s">
        <v>78</v>
      </c>
      <c r="O308" s="232" t="s">
        <v>517</v>
      </c>
      <c r="P308" s="231" t="s">
        <v>70</v>
      </c>
      <c r="R308" s="231" t="s">
        <v>573</v>
      </c>
      <c r="S308" s="231" t="s">
        <v>564</v>
      </c>
      <c r="T308" s="231" t="s">
        <v>574</v>
      </c>
      <c r="U308" s="231" t="s">
        <v>572</v>
      </c>
      <c r="V308" s="231" t="s">
        <v>568</v>
      </c>
      <c r="W308" s="231" t="s">
        <v>567</v>
      </c>
      <c r="X308" s="231" t="s">
        <v>570</v>
      </c>
      <c r="Y308" s="231" t="s">
        <v>571</v>
      </c>
      <c r="AA308" s="231">
        <f t="shared" si="285"/>
        <v>0</v>
      </c>
      <c r="AB308" s="231">
        <f t="shared" si="286"/>
        <v>0</v>
      </c>
      <c r="AC308" s="231">
        <f t="shared" si="287"/>
        <v>1</v>
      </c>
      <c r="AD308" s="231">
        <f t="shared" si="288"/>
        <v>1</v>
      </c>
      <c r="AE308" s="231">
        <f t="shared" si="289"/>
        <v>1</v>
      </c>
      <c r="AF308" s="231">
        <f t="shared" si="290"/>
        <v>1</v>
      </c>
      <c r="AG308" s="231">
        <f t="shared" si="291"/>
        <v>0</v>
      </c>
      <c r="AH308" s="231">
        <f t="shared" si="292"/>
        <v>0</v>
      </c>
      <c r="AI308" s="231">
        <f t="shared" si="293"/>
        <v>0</v>
      </c>
      <c r="AJ308" s="231">
        <f t="shared" si="294"/>
        <v>0</v>
      </c>
      <c r="AK308" s="231">
        <f t="shared" si="295"/>
        <v>0</v>
      </c>
      <c r="AL308" s="231">
        <f t="shared" si="296"/>
        <v>1</v>
      </c>
      <c r="AM308" s="231">
        <f t="shared" si="297"/>
        <v>5</v>
      </c>
    </row>
    <row r="309" spans="4:39" x14ac:dyDescent="0.25">
      <c r="D309" s="231">
        <v>151</v>
      </c>
      <c r="F309" s="231" t="s">
        <v>73</v>
      </c>
      <c r="G309" s="231" t="s">
        <v>74</v>
      </c>
      <c r="H309" s="231" t="s">
        <v>69</v>
      </c>
      <c r="I309" s="231" t="s">
        <v>76</v>
      </c>
      <c r="J309" s="231" t="s">
        <v>75</v>
      </c>
      <c r="L309" s="231" t="s">
        <v>78</v>
      </c>
      <c r="N309" s="231" t="s">
        <v>516</v>
      </c>
      <c r="P309" s="231" t="s">
        <v>70</v>
      </c>
      <c r="R309" s="231" t="s">
        <v>573</v>
      </c>
      <c r="S309" s="231" t="s">
        <v>565</v>
      </c>
      <c r="T309" s="231" t="s">
        <v>574</v>
      </c>
      <c r="U309" s="231" t="s">
        <v>572</v>
      </c>
      <c r="V309" s="231" t="s">
        <v>568</v>
      </c>
      <c r="W309" s="231" t="s">
        <v>567</v>
      </c>
      <c r="X309" s="231" t="s">
        <v>570</v>
      </c>
      <c r="Y309" s="231" t="s">
        <v>564</v>
      </c>
      <c r="AA309" s="231">
        <f t="shared" si="285"/>
        <v>0</v>
      </c>
      <c r="AB309" s="231">
        <f t="shared" si="286"/>
        <v>0</v>
      </c>
      <c r="AC309" s="231">
        <f t="shared" si="287"/>
        <v>1</v>
      </c>
      <c r="AD309" s="231">
        <f t="shared" si="288"/>
        <v>1</v>
      </c>
      <c r="AE309" s="231">
        <f t="shared" si="289"/>
        <v>1</v>
      </c>
      <c r="AF309" s="231">
        <f t="shared" si="290"/>
        <v>1</v>
      </c>
      <c r="AG309" s="231">
        <f t="shared" si="291"/>
        <v>0</v>
      </c>
      <c r="AH309" s="231">
        <f t="shared" si="292"/>
        <v>0</v>
      </c>
      <c r="AI309" s="231">
        <f t="shared" si="293"/>
        <v>0</v>
      </c>
      <c r="AJ309" s="231">
        <f t="shared" si="294"/>
        <v>1</v>
      </c>
      <c r="AK309" s="231">
        <f t="shared" si="295"/>
        <v>0</v>
      </c>
      <c r="AL309" s="231">
        <f t="shared" si="296"/>
        <v>1</v>
      </c>
      <c r="AM309" s="231">
        <f t="shared" si="297"/>
        <v>6</v>
      </c>
    </row>
    <row r="310" spans="4:39" x14ac:dyDescent="0.25">
      <c r="D310" s="231">
        <v>152</v>
      </c>
      <c r="F310" s="231" t="s">
        <v>73</v>
      </c>
      <c r="G310" s="231" t="s">
        <v>74</v>
      </c>
      <c r="H310" s="231" t="s">
        <v>69</v>
      </c>
      <c r="I310" s="231" t="s">
        <v>76</v>
      </c>
      <c r="J310" s="231" t="s">
        <v>75</v>
      </c>
      <c r="L310" s="231" t="s">
        <v>78</v>
      </c>
      <c r="N310" s="231" t="s">
        <v>516</v>
      </c>
      <c r="O310" s="232" t="s">
        <v>517</v>
      </c>
      <c r="R310" s="231" t="s">
        <v>573</v>
      </c>
      <c r="S310" s="231" t="s">
        <v>565</v>
      </c>
      <c r="T310" s="231" t="s">
        <v>574</v>
      </c>
      <c r="U310" s="231" t="s">
        <v>572</v>
      </c>
      <c r="V310" s="231" t="s">
        <v>568</v>
      </c>
      <c r="W310" s="231" t="s">
        <v>567</v>
      </c>
      <c r="X310" s="231" t="s">
        <v>564</v>
      </c>
      <c r="Y310" s="231" t="s">
        <v>571</v>
      </c>
      <c r="AA310" s="231">
        <f t="shared" si="285"/>
        <v>0</v>
      </c>
      <c r="AB310" s="231">
        <f t="shared" si="286"/>
        <v>0</v>
      </c>
      <c r="AC310" s="231">
        <f t="shared" si="287"/>
        <v>1</v>
      </c>
      <c r="AD310" s="231">
        <f t="shared" si="288"/>
        <v>1</v>
      </c>
      <c r="AE310" s="231">
        <f t="shared" si="289"/>
        <v>1</v>
      </c>
      <c r="AF310" s="231">
        <f t="shared" si="290"/>
        <v>1</v>
      </c>
      <c r="AG310" s="231">
        <f t="shared" si="291"/>
        <v>0</v>
      </c>
      <c r="AH310" s="231">
        <f t="shared" si="292"/>
        <v>0</v>
      </c>
      <c r="AI310" s="231">
        <f t="shared" si="293"/>
        <v>0</v>
      </c>
      <c r="AJ310" s="231">
        <f t="shared" si="294"/>
        <v>1</v>
      </c>
      <c r="AK310" s="231">
        <f t="shared" si="295"/>
        <v>0</v>
      </c>
      <c r="AL310" s="231">
        <f t="shared" si="296"/>
        <v>0</v>
      </c>
      <c r="AM310" s="231">
        <f t="shared" si="297"/>
        <v>5</v>
      </c>
    </row>
    <row r="311" spans="4:39" x14ac:dyDescent="0.25">
      <c r="D311" s="231">
        <v>153</v>
      </c>
      <c r="F311" s="231" t="s">
        <v>73</v>
      </c>
      <c r="G311" s="231" t="s">
        <v>74</v>
      </c>
      <c r="H311" s="231" t="s">
        <v>69</v>
      </c>
      <c r="I311" s="231" t="s">
        <v>76</v>
      </c>
      <c r="J311" s="231" t="s">
        <v>75</v>
      </c>
      <c r="L311" s="231" t="s">
        <v>78</v>
      </c>
      <c r="M311" s="231" t="s">
        <v>515</v>
      </c>
      <c r="P311" s="231" t="s">
        <v>70</v>
      </c>
      <c r="R311" s="231" t="s">
        <v>573</v>
      </c>
      <c r="S311" s="231" t="s">
        <v>564</v>
      </c>
      <c r="T311" s="231" t="s">
        <v>574</v>
      </c>
      <c r="U311" s="231" t="s">
        <v>572</v>
      </c>
      <c r="V311" s="231" t="s">
        <v>568</v>
      </c>
      <c r="W311" s="231" t="s">
        <v>567</v>
      </c>
      <c r="X311" s="231" t="s">
        <v>570</v>
      </c>
      <c r="Y311" s="231" t="s">
        <v>566</v>
      </c>
      <c r="AA311" s="231">
        <f t="shared" si="285"/>
        <v>0</v>
      </c>
      <c r="AB311" s="231">
        <f t="shared" si="286"/>
        <v>0</v>
      </c>
      <c r="AC311" s="231">
        <f t="shared" si="287"/>
        <v>1</v>
      </c>
      <c r="AD311" s="231">
        <f t="shared" si="288"/>
        <v>1</v>
      </c>
      <c r="AE311" s="231">
        <f t="shared" si="289"/>
        <v>1</v>
      </c>
      <c r="AF311" s="231">
        <f t="shared" si="290"/>
        <v>1</v>
      </c>
      <c r="AG311" s="231">
        <f t="shared" si="291"/>
        <v>0</v>
      </c>
      <c r="AH311" s="231">
        <f t="shared" si="292"/>
        <v>0</v>
      </c>
      <c r="AI311" s="231">
        <f t="shared" si="293"/>
        <v>1</v>
      </c>
      <c r="AJ311" s="231">
        <f t="shared" si="294"/>
        <v>0</v>
      </c>
      <c r="AK311" s="231">
        <f t="shared" si="295"/>
        <v>0</v>
      </c>
      <c r="AL311" s="231">
        <f t="shared" si="296"/>
        <v>1</v>
      </c>
      <c r="AM311" s="231">
        <f t="shared" si="297"/>
        <v>6</v>
      </c>
    </row>
    <row r="312" spans="4:39" x14ac:dyDescent="0.25">
      <c r="D312" s="231">
        <v>154</v>
      </c>
      <c r="F312" s="231" t="s">
        <v>73</v>
      </c>
      <c r="G312" s="231" t="s">
        <v>74</v>
      </c>
      <c r="H312" s="231" t="s">
        <v>69</v>
      </c>
      <c r="I312" s="231" t="s">
        <v>76</v>
      </c>
      <c r="J312" s="231" t="s">
        <v>75</v>
      </c>
      <c r="L312" s="231" t="s">
        <v>78</v>
      </c>
      <c r="M312" s="231" t="s">
        <v>515</v>
      </c>
      <c r="O312" s="232" t="s">
        <v>517</v>
      </c>
      <c r="R312" s="231" t="s">
        <v>573</v>
      </c>
      <c r="S312" s="231" t="s">
        <v>564</v>
      </c>
      <c r="T312" s="231" t="s">
        <v>574</v>
      </c>
      <c r="U312" s="231" t="s">
        <v>572</v>
      </c>
      <c r="V312" s="231" t="s">
        <v>568</v>
      </c>
      <c r="W312" s="231" t="s">
        <v>567</v>
      </c>
      <c r="X312" s="231" t="s">
        <v>566</v>
      </c>
      <c r="Y312" s="231" t="s">
        <v>571</v>
      </c>
      <c r="AA312" s="231">
        <f t="shared" si="285"/>
        <v>0</v>
      </c>
      <c r="AB312" s="231">
        <f t="shared" si="286"/>
        <v>0</v>
      </c>
      <c r="AC312" s="231">
        <f t="shared" si="287"/>
        <v>1</v>
      </c>
      <c r="AD312" s="231">
        <f t="shared" si="288"/>
        <v>1</v>
      </c>
      <c r="AE312" s="231">
        <f t="shared" si="289"/>
        <v>1</v>
      </c>
      <c r="AF312" s="231">
        <f t="shared" si="290"/>
        <v>1</v>
      </c>
      <c r="AG312" s="231">
        <f t="shared" si="291"/>
        <v>0</v>
      </c>
      <c r="AH312" s="231">
        <f t="shared" si="292"/>
        <v>0</v>
      </c>
      <c r="AI312" s="231">
        <f t="shared" si="293"/>
        <v>1</v>
      </c>
      <c r="AJ312" s="231">
        <f t="shared" si="294"/>
        <v>0</v>
      </c>
      <c r="AK312" s="231">
        <f t="shared" si="295"/>
        <v>0</v>
      </c>
      <c r="AL312" s="231">
        <f t="shared" si="296"/>
        <v>0</v>
      </c>
      <c r="AM312" s="231">
        <f t="shared" si="297"/>
        <v>5</v>
      </c>
    </row>
    <row r="313" spans="4:39" x14ac:dyDescent="0.25">
      <c r="D313" s="231">
        <v>155</v>
      </c>
      <c r="F313" s="231" t="s">
        <v>73</v>
      </c>
      <c r="G313" s="231" t="s">
        <v>74</v>
      </c>
      <c r="H313" s="231" t="s">
        <v>69</v>
      </c>
      <c r="I313" s="231" t="s">
        <v>76</v>
      </c>
      <c r="J313" s="231" t="s">
        <v>75</v>
      </c>
      <c r="L313" s="231" t="s">
        <v>78</v>
      </c>
      <c r="M313" s="231" t="s">
        <v>515</v>
      </c>
      <c r="N313" s="231" t="s">
        <v>516</v>
      </c>
      <c r="R313" s="231" t="s">
        <v>573</v>
      </c>
      <c r="S313" s="231" t="s">
        <v>565</v>
      </c>
      <c r="T313" s="231" t="s">
        <v>574</v>
      </c>
      <c r="U313" s="231" t="s">
        <v>572</v>
      </c>
      <c r="V313" s="231" t="s">
        <v>568</v>
      </c>
      <c r="W313" s="231" t="s">
        <v>567</v>
      </c>
      <c r="X313" s="231" t="s">
        <v>564</v>
      </c>
      <c r="Y313" s="231" t="s">
        <v>566</v>
      </c>
      <c r="AA313" s="231">
        <f t="shared" si="285"/>
        <v>0</v>
      </c>
      <c r="AB313" s="231">
        <f t="shared" si="286"/>
        <v>0</v>
      </c>
      <c r="AC313" s="231">
        <f t="shared" si="287"/>
        <v>1</v>
      </c>
      <c r="AD313" s="231">
        <f t="shared" si="288"/>
        <v>1</v>
      </c>
      <c r="AE313" s="231">
        <f t="shared" si="289"/>
        <v>1</v>
      </c>
      <c r="AF313" s="231">
        <f t="shared" si="290"/>
        <v>1</v>
      </c>
      <c r="AG313" s="231">
        <f t="shared" si="291"/>
        <v>0</v>
      </c>
      <c r="AH313" s="231">
        <f t="shared" si="292"/>
        <v>0</v>
      </c>
      <c r="AI313" s="231">
        <f t="shared" si="293"/>
        <v>1</v>
      </c>
      <c r="AJ313" s="231">
        <f t="shared" si="294"/>
        <v>1</v>
      </c>
      <c r="AK313" s="231">
        <f t="shared" si="295"/>
        <v>0</v>
      </c>
      <c r="AL313" s="231">
        <f t="shared" si="296"/>
        <v>0</v>
      </c>
      <c r="AM313" s="231">
        <f t="shared" si="297"/>
        <v>6</v>
      </c>
    </row>
    <row r="314" spans="4:39" x14ac:dyDescent="0.25">
      <c r="D314" s="231">
        <v>156</v>
      </c>
      <c r="F314" s="231" t="s">
        <v>73</v>
      </c>
      <c r="G314" s="231" t="s">
        <v>74</v>
      </c>
      <c r="H314" s="231" t="s">
        <v>69</v>
      </c>
      <c r="I314" s="231" t="s">
        <v>76</v>
      </c>
      <c r="J314" s="231" t="s">
        <v>75</v>
      </c>
      <c r="K314" s="231" t="s">
        <v>77</v>
      </c>
      <c r="O314" s="232" t="s">
        <v>517</v>
      </c>
      <c r="P314" s="231" t="s">
        <v>70</v>
      </c>
      <c r="R314" s="231" t="s">
        <v>573</v>
      </c>
      <c r="S314" s="231" t="s">
        <v>569</v>
      </c>
      <c r="T314" s="231" t="s">
        <v>574</v>
      </c>
      <c r="U314" s="231" t="s">
        <v>572</v>
      </c>
      <c r="V314" s="231" t="s">
        <v>564</v>
      </c>
      <c r="W314" s="231" t="s">
        <v>567</v>
      </c>
      <c r="X314" s="231" t="s">
        <v>570</v>
      </c>
      <c r="Y314" s="231" t="s">
        <v>571</v>
      </c>
      <c r="AA314" s="231">
        <f t="shared" si="285"/>
        <v>0</v>
      </c>
      <c r="AB314" s="231">
        <f t="shared" si="286"/>
        <v>0</v>
      </c>
      <c r="AC314" s="231">
        <f t="shared" si="287"/>
        <v>1</v>
      </c>
      <c r="AD314" s="231">
        <f t="shared" si="288"/>
        <v>1</v>
      </c>
      <c r="AE314" s="231">
        <f t="shared" si="289"/>
        <v>1</v>
      </c>
      <c r="AF314" s="231">
        <f t="shared" si="290"/>
        <v>1</v>
      </c>
      <c r="AG314" s="231">
        <f t="shared" si="291"/>
        <v>1</v>
      </c>
      <c r="AH314" s="231">
        <f t="shared" si="292"/>
        <v>0</v>
      </c>
      <c r="AI314" s="231">
        <f t="shared" si="293"/>
        <v>0</v>
      </c>
      <c r="AJ314" s="231">
        <f t="shared" si="294"/>
        <v>0</v>
      </c>
      <c r="AK314" s="231">
        <f t="shared" si="295"/>
        <v>0</v>
      </c>
      <c r="AL314" s="231">
        <f t="shared" si="296"/>
        <v>1</v>
      </c>
      <c r="AM314" s="231">
        <f t="shared" si="297"/>
        <v>6</v>
      </c>
    </row>
    <row r="315" spans="4:39" x14ac:dyDescent="0.25">
      <c r="D315" s="231">
        <v>157</v>
      </c>
      <c r="F315" s="231" t="s">
        <v>73</v>
      </c>
      <c r="G315" s="231" t="s">
        <v>74</v>
      </c>
      <c r="H315" s="231" t="s">
        <v>69</v>
      </c>
      <c r="I315" s="231" t="s">
        <v>76</v>
      </c>
      <c r="J315" s="231" t="s">
        <v>75</v>
      </c>
      <c r="K315" s="231" t="s">
        <v>77</v>
      </c>
      <c r="N315" s="231" t="s">
        <v>516</v>
      </c>
      <c r="P315" s="231" t="s">
        <v>70</v>
      </c>
      <c r="R315" s="231" t="s">
        <v>573</v>
      </c>
      <c r="S315" s="231" t="s">
        <v>569</v>
      </c>
      <c r="T315" s="231" t="s">
        <v>574</v>
      </c>
      <c r="U315" s="231" t="s">
        <v>572</v>
      </c>
      <c r="V315" s="231" t="s">
        <v>565</v>
      </c>
      <c r="W315" s="231" t="s">
        <v>567</v>
      </c>
      <c r="X315" s="231" t="s">
        <v>570</v>
      </c>
      <c r="Y315" s="231" t="s">
        <v>564</v>
      </c>
      <c r="AA315" s="231">
        <f t="shared" si="285"/>
        <v>0</v>
      </c>
      <c r="AB315" s="231">
        <f t="shared" si="286"/>
        <v>0</v>
      </c>
      <c r="AC315" s="231">
        <f t="shared" si="287"/>
        <v>1</v>
      </c>
      <c r="AD315" s="231">
        <f t="shared" si="288"/>
        <v>1</v>
      </c>
      <c r="AE315" s="231">
        <f t="shared" si="289"/>
        <v>1</v>
      </c>
      <c r="AF315" s="231">
        <f t="shared" si="290"/>
        <v>1</v>
      </c>
      <c r="AG315" s="231">
        <f t="shared" si="291"/>
        <v>1</v>
      </c>
      <c r="AH315" s="231">
        <f t="shared" si="292"/>
        <v>0</v>
      </c>
      <c r="AI315" s="231">
        <f t="shared" si="293"/>
        <v>0</v>
      </c>
      <c r="AJ315" s="231">
        <f t="shared" si="294"/>
        <v>1</v>
      </c>
      <c r="AK315" s="231">
        <f t="shared" si="295"/>
        <v>0</v>
      </c>
      <c r="AL315" s="231">
        <f t="shared" si="296"/>
        <v>1</v>
      </c>
      <c r="AM315" s="231">
        <f t="shared" si="297"/>
        <v>7</v>
      </c>
    </row>
    <row r="316" spans="4:39" x14ac:dyDescent="0.25">
      <c r="D316" s="231">
        <v>158</v>
      </c>
      <c r="F316" s="231" t="s">
        <v>73</v>
      </c>
      <c r="G316" s="231" t="s">
        <v>74</v>
      </c>
      <c r="H316" s="231" t="s">
        <v>69</v>
      </c>
      <c r="I316" s="231" t="s">
        <v>76</v>
      </c>
      <c r="J316" s="231" t="s">
        <v>75</v>
      </c>
      <c r="K316" s="231" t="s">
        <v>77</v>
      </c>
      <c r="N316" s="231" t="s">
        <v>516</v>
      </c>
      <c r="O316" s="232" t="s">
        <v>517</v>
      </c>
      <c r="R316" s="231" t="s">
        <v>573</v>
      </c>
      <c r="S316" s="231" t="s">
        <v>569</v>
      </c>
      <c r="T316" s="231" t="s">
        <v>574</v>
      </c>
      <c r="U316" s="231" t="s">
        <v>572</v>
      </c>
      <c r="V316" s="231" t="s">
        <v>565</v>
      </c>
      <c r="W316" s="231" t="s">
        <v>567</v>
      </c>
      <c r="X316" s="231" t="s">
        <v>564</v>
      </c>
      <c r="Y316" s="231" t="s">
        <v>571</v>
      </c>
      <c r="AA316" s="231">
        <f t="shared" si="285"/>
        <v>0</v>
      </c>
      <c r="AB316" s="231">
        <f t="shared" si="286"/>
        <v>0</v>
      </c>
      <c r="AC316" s="231">
        <f t="shared" si="287"/>
        <v>1</v>
      </c>
      <c r="AD316" s="231">
        <f t="shared" si="288"/>
        <v>1</v>
      </c>
      <c r="AE316" s="231">
        <f t="shared" si="289"/>
        <v>1</v>
      </c>
      <c r="AF316" s="231">
        <f t="shared" si="290"/>
        <v>1</v>
      </c>
      <c r="AG316" s="231">
        <f t="shared" si="291"/>
        <v>1</v>
      </c>
      <c r="AH316" s="231">
        <f t="shared" si="292"/>
        <v>0</v>
      </c>
      <c r="AI316" s="231">
        <f t="shared" si="293"/>
        <v>0</v>
      </c>
      <c r="AJ316" s="231">
        <f t="shared" si="294"/>
        <v>1</v>
      </c>
      <c r="AK316" s="231">
        <f t="shared" si="295"/>
        <v>0</v>
      </c>
      <c r="AL316" s="231">
        <f t="shared" si="296"/>
        <v>0</v>
      </c>
      <c r="AM316" s="231">
        <f t="shared" si="297"/>
        <v>6</v>
      </c>
    </row>
    <row r="317" spans="4:39" x14ac:dyDescent="0.25">
      <c r="D317" s="231">
        <v>159</v>
      </c>
      <c r="F317" s="231" t="s">
        <v>73</v>
      </c>
      <c r="G317" s="231" t="s">
        <v>74</v>
      </c>
      <c r="H317" s="231" t="s">
        <v>69</v>
      </c>
      <c r="I317" s="231" t="s">
        <v>76</v>
      </c>
      <c r="J317" s="231" t="s">
        <v>75</v>
      </c>
      <c r="K317" s="231" t="s">
        <v>77</v>
      </c>
      <c r="M317" s="231" t="s">
        <v>515</v>
      </c>
      <c r="P317" s="231" t="s">
        <v>70</v>
      </c>
      <c r="R317" s="231" t="s">
        <v>573</v>
      </c>
      <c r="S317" s="231" t="s">
        <v>569</v>
      </c>
      <c r="T317" s="231" t="s">
        <v>574</v>
      </c>
      <c r="U317" s="231" t="s">
        <v>572</v>
      </c>
      <c r="V317" s="231" t="s">
        <v>564</v>
      </c>
      <c r="W317" s="231" t="s">
        <v>567</v>
      </c>
      <c r="X317" s="231" t="s">
        <v>570</v>
      </c>
      <c r="Y317" s="231" t="s">
        <v>566</v>
      </c>
      <c r="AA317" s="231">
        <f t="shared" si="285"/>
        <v>0</v>
      </c>
      <c r="AB317" s="231">
        <f t="shared" si="286"/>
        <v>0</v>
      </c>
      <c r="AC317" s="231">
        <f t="shared" si="287"/>
        <v>1</v>
      </c>
      <c r="AD317" s="231">
        <f t="shared" si="288"/>
        <v>1</v>
      </c>
      <c r="AE317" s="231">
        <f t="shared" si="289"/>
        <v>1</v>
      </c>
      <c r="AF317" s="231">
        <f t="shared" si="290"/>
        <v>1</v>
      </c>
      <c r="AG317" s="231">
        <f t="shared" si="291"/>
        <v>1</v>
      </c>
      <c r="AH317" s="231">
        <f t="shared" si="292"/>
        <v>0</v>
      </c>
      <c r="AI317" s="231">
        <f t="shared" si="293"/>
        <v>1</v>
      </c>
      <c r="AJ317" s="231">
        <f t="shared" si="294"/>
        <v>0</v>
      </c>
      <c r="AK317" s="231">
        <f t="shared" si="295"/>
        <v>0</v>
      </c>
      <c r="AL317" s="231">
        <f t="shared" si="296"/>
        <v>1</v>
      </c>
      <c r="AM317" s="231">
        <f t="shared" si="297"/>
        <v>7</v>
      </c>
    </row>
    <row r="318" spans="4:39" x14ac:dyDescent="0.25">
      <c r="D318" s="231">
        <v>160</v>
      </c>
      <c r="F318" s="231" t="s">
        <v>73</v>
      </c>
      <c r="G318" s="231" t="s">
        <v>74</v>
      </c>
      <c r="H318" s="231" t="s">
        <v>69</v>
      </c>
      <c r="I318" s="231" t="s">
        <v>76</v>
      </c>
      <c r="J318" s="231" t="s">
        <v>75</v>
      </c>
      <c r="K318" s="231" t="s">
        <v>77</v>
      </c>
      <c r="M318" s="231" t="s">
        <v>515</v>
      </c>
      <c r="O318" s="232" t="s">
        <v>517</v>
      </c>
      <c r="R318" s="231" t="s">
        <v>573</v>
      </c>
      <c r="S318" s="231" t="s">
        <v>569</v>
      </c>
      <c r="T318" s="231" t="s">
        <v>574</v>
      </c>
      <c r="U318" s="231" t="s">
        <v>572</v>
      </c>
      <c r="V318" s="231" t="s">
        <v>564</v>
      </c>
      <c r="W318" s="231" t="s">
        <v>567</v>
      </c>
      <c r="X318" s="231" t="s">
        <v>566</v>
      </c>
      <c r="Y318" s="231" t="s">
        <v>571</v>
      </c>
      <c r="AA318" s="231">
        <f t="shared" si="285"/>
        <v>0</v>
      </c>
      <c r="AB318" s="231">
        <f t="shared" si="286"/>
        <v>0</v>
      </c>
      <c r="AC318" s="231">
        <f t="shared" si="287"/>
        <v>1</v>
      </c>
      <c r="AD318" s="231">
        <f t="shared" si="288"/>
        <v>1</v>
      </c>
      <c r="AE318" s="231">
        <f t="shared" si="289"/>
        <v>1</v>
      </c>
      <c r="AF318" s="231">
        <f t="shared" si="290"/>
        <v>1</v>
      </c>
      <c r="AG318" s="231">
        <f t="shared" si="291"/>
        <v>1</v>
      </c>
      <c r="AH318" s="231">
        <f t="shared" si="292"/>
        <v>0</v>
      </c>
      <c r="AI318" s="231">
        <f t="shared" si="293"/>
        <v>1</v>
      </c>
      <c r="AJ318" s="231">
        <f t="shared" si="294"/>
        <v>0</v>
      </c>
      <c r="AK318" s="231">
        <f t="shared" si="295"/>
        <v>0</v>
      </c>
      <c r="AL318" s="231">
        <f t="shared" si="296"/>
        <v>0</v>
      </c>
      <c r="AM318" s="231">
        <f t="shared" si="297"/>
        <v>6</v>
      </c>
    </row>
    <row r="319" spans="4:39" x14ac:dyDescent="0.25">
      <c r="D319" s="231">
        <v>161</v>
      </c>
      <c r="F319" s="231" t="s">
        <v>73</v>
      </c>
      <c r="G319" s="231" t="s">
        <v>74</v>
      </c>
      <c r="H319" s="231" t="s">
        <v>69</v>
      </c>
      <c r="I319" s="231" t="s">
        <v>76</v>
      </c>
      <c r="J319" s="231" t="s">
        <v>75</v>
      </c>
      <c r="K319" s="231" t="s">
        <v>77</v>
      </c>
      <c r="M319" s="231" t="s">
        <v>515</v>
      </c>
      <c r="N319" s="231" t="s">
        <v>516</v>
      </c>
      <c r="R319" s="231" t="s">
        <v>573</v>
      </c>
      <c r="S319" s="231" t="s">
        <v>569</v>
      </c>
      <c r="T319" s="231" t="s">
        <v>574</v>
      </c>
      <c r="U319" s="231" t="s">
        <v>572</v>
      </c>
      <c r="V319" s="231" t="s">
        <v>565</v>
      </c>
      <c r="W319" s="231" t="s">
        <v>567</v>
      </c>
      <c r="X319" s="231" t="s">
        <v>564</v>
      </c>
      <c r="Y319" s="231" t="s">
        <v>566</v>
      </c>
      <c r="AA319" s="231">
        <f t="shared" si="285"/>
        <v>0</v>
      </c>
      <c r="AB319" s="231">
        <f t="shared" si="286"/>
        <v>0</v>
      </c>
      <c r="AC319" s="231">
        <f t="shared" si="287"/>
        <v>1</v>
      </c>
      <c r="AD319" s="231">
        <f t="shared" si="288"/>
        <v>1</v>
      </c>
      <c r="AE319" s="231">
        <f t="shared" si="289"/>
        <v>1</v>
      </c>
      <c r="AF319" s="231">
        <f t="shared" si="290"/>
        <v>1</v>
      </c>
      <c r="AG319" s="231">
        <f t="shared" si="291"/>
        <v>1</v>
      </c>
      <c r="AH319" s="231">
        <f t="shared" si="292"/>
        <v>0</v>
      </c>
      <c r="AI319" s="231">
        <f t="shared" si="293"/>
        <v>1</v>
      </c>
      <c r="AJ319" s="231">
        <f t="shared" si="294"/>
        <v>1</v>
      </c>
      <c r="AK319" s="231">
        <f t="shared" si="295"/>
        <v>0</v>
      </c>
      <c r="AL319" s="231">
        <f t="shared" si="296"/>
        <v>0</v>
      </c>
      <c r="AM319" s="231">
        <f t="shared" si="297"/>
        <v>7</v>
      </c>
    </row>
    <row r="320" spans="4:39" x14ac:dyDescent="0.25">
      <c r="D320" s="231">
        <v>162</v>
      </c>
      <c r="F320" s="231" t="s">
        <v>73</v>
      </c>
      <c r="G320" s="231" t="s">
        <v>74</v>
      </c>
      <c r="H320" s="231" t="s">
        <v>69</v>
      </c>
      <c r="I320" s="231" t="s">
        <v>76</v>
      </c>
      <c r="J320" s="231" t="s">
        <v>75</v>
      </c>
      <c r="K320" s="231" t="s">
        <v>77</v>
      </c>
      <c r="L320" s="231" t="s">
        <v>78</v>
      </c>
      <c r="P320" s="231" t="s">
        <v>70</v>
      </c>
      <c r="R320" s="231" t="s">
        <v>573</v>
      </c>
      <c r="S320" s="231" t="s">
        <v>569</v>
      </c>
      <c r="T320" s="231" t="s">
        <v>574</v>
      </c>
      <c r="U320" s="231" t="s">
        <v>572</v>
      </c>
      <c r="V320" s="231" t="s">
        <v>568</v>
      </c>
      <c r="W320" s="231" t="s">
        <v>567</v>
      </c>
      <c r="X320" s="231" t="s">
        <v>570</v>
      </c>
      <c r="Y320" s="231" t="s">
        <v>564</v>
      </c>
      <c r="AA320" s="231">
        <f t="shared" si="285"/>
        <v>0</v>
      </c>
      <c r="AB320" s="231">
        <f t="shared" si="286"/>
        <v>0</v>
      </c>
      <c r="AC320" s="231">
        <f t="shared" si="287"/>
        <v>1</v>
      </c>
      <c r="AD320" s="231">
        <f t="shared" si="288"/>
        <v>1</v>
      </c>
      <c r="AE320" s="231">
        <f t="shared" si="289"/>
        <v>1</v>
      </c>
      <c r="AF320" s="231">
        <f t="shared" si="290"/>
        <v>1</v>
      </c>
      <c r="AG320" s="231">
        <f t="shared" si="291"/>
        <v>1</v>
      </c>
      <c r="AH320" s="231">
        <f t="shared" si="292"/>
        <v>0</v>
      </c>
      <c r="AI320" s="231">
        <f t="shared" si="293"/>
        <v>0</v>
      </c>
      <c r="AJ320" s="231">
        <f t="shared" si="294"/>
        <v>0</v>
      </c>
      <c r="AK320" s="231">
        <f t="shared" si="295"/>
        <v>0</v>
      </c>
      <c r="AL320" s="231">
        <f t="shared" si="296"/>
        <v>1</v>
      </c>
      <c r="AM320" s="231">
        <f t="shared" si="297"/>
        <v>6</v>
      </c>
    </row>
    <row r="321" spans="4:39" x14ac:dyDescent="0.25">
      <c r="D321" s="231">
        <v>163</v>
      </c>
      <c r="F321" s="231" t="s">
        <v>73</v>
      </c>
      <c r="G321" s="231" t="s">
        <v>74</v>
      </c>
      <c r="H321" s="231" t="s">
        <v>69</v>
      </c>
      <c r="I321" s="231" t="s">
        <v>76</v>
      </c>
      <c r="J321" s="231" t="s">
        <v>75</v>
      </c>
      <c r="K321" s="231" t="s">
        <v>77</v>
      </c>
      <c r="L321" s="231" t="s">
        <v>78</v>
      </c>
      <c r="O321" s="232" t="s">
        <v>517</v>
      </c>
      <c r="R321" s="231" t="s">
        <v>573</v>
      </c>
      <c r="S321" s="231" t="s">
        <v>569</v>
      </c>
      <c r="T321" s="231" t="s">
        <v>574</v>
      </c>
      <c r="U321" s="231" t="s">
        <v>572</v>
      </c>
      <c r="V321" s="231" t="s">
        <v>568</v>
      </c>
      <c r="W321" s="231" t="s">
        <v>567</v>
      </c>
      <c r="X321" s="231" t="s">
        <v>564</v>
      </c>
      <c r="Y321" s="231" t="s">
        <v>571</v>
      </c>
      <c r="AA321" s="231">
        <f t="shared" si="285"/>
        <v>0</v>
      </c>
      <c r="AB321" s="231">
        <f t="shared" si="286"/>
        <v>0</v>
      </c>
      <c r="AC321" s="231">
        <f t="shared" si="287"/>
        <v>1</v>
      </c>
      <c r="AD321" s="231">
        <f t="shared" si="288"/>
        <v>1</v>
      </c>
      <c r="AE321" s="231">
        <f t="shared" si="289"/>
        <v>1</v>
      </c>
      <c r="AF321" s="231">
        <f t="shared" si="290"/>
        <v>1</v>
      </c>
      <c r="AG321" s="231">
        <f t="shared" si="291"/>
        <v>1</v>
      </c>
      <c r="AH321" s="231">
        <f t="shared" si="292"/>
        <v>0</v>
      </c>
      <c r="AI321" s="231">
        <f t="shared" si="293"/>
        <v>0</v>
      </c>
      <c r="AJ321" s="231">
        <f t="shared" si="294"/>
        <v>0</v>
      </c>
      <c r="AK321" s="231">
        <f t="shared" si="295"/>
        <v>0</v>
      </c>
      <c r="AL321" s="231">
        <f t="shared" si="296"/>
        <v>0</v>
      </c>
      <c r="AM321" s="231">
        <f t="shared" si="297"/>
        <v>5</v>
      </c>
    </row>
    <row r="322" spans="4:39" x14ac:dyDescent="0.25">
      <c r="D322" s="231">
        <v>164</v>
      </c>
      <c r="F322" s="231" t="s">
        <v>73</v>
      </c>
      <c r="G322" s="231" t="s">
        <v>74</v>
      </c>
      <c r="H322" s="231" t="s">
        <v>69</v>
      </c>
      <c r="I322" s="231" t="s">
        <v>76</v>
      </c>
      <c r="J322" s="231" t="s">
        <v>75</v>
      </c>
      <c r="K322" s="231" t="s">
        <v>77</v>
      </c>
      <c r="L322" s="231" t="s">
        <v>78</v>
      </c>
      <c r="N322" s="231" t="s">
        <v>516</v>
      </c>
      <c r="R322" s="231" t="s">
        <v>568</v>
      </c>
      <c r="S322" s="231" t="s">
        <v>569</v>
      </c>
      <c r="T322" s="231" t="s">
        <v>574</v>
      </c>
      <c r="U322" s="231" t="s">
        <v>573</v>
      </c>
      <c r="V322" s="231" t="s">
        <v>565</v>
      </c>
      <c r="W322" s="231" t="s">
        <v>567</v>
      </c>
      <c r="X322" s="231" t="s">
        <v>572</v>
      </c>
      <c r="Y322" s="231" t="s">
        <v>564</v>
      </c>
      <c r="AA322" s="231">
        <f t="shared" si="285"/>
        <v>0</v>
      </c>
      <c r="AB322" s="231">
        <f t="shared" si="286"/>
        <v>0</v>
      </c>
      <c r="AC322" s="231">
        <f t="shared" si="287"/>
        <v>1</v>
      </c>
      <c r="AD322" s="231">
        <f t="shared" si="288"/>
        <v>1</v>
      </c>
      <c r="AE322" s="231">
        <f t="shared" si="289"/>
        <v>1</v>
      </c>
      <c r="AF322" s="231">
        <f t="shared" si="290"/>
        <v>1</v>
      </c>
      <c r="AG322" s="231">
        <f t="shared" si="291"/>
        <v>1</v>
      </c>
      <c r="AH322" s="231">
        <f t="shared" si="292"/>
        <v>0</v>
      </c>
      <c r="AI322" s="231">
        <f t="shared" si="293"/>
        <v>0</v>
      </c>
      <c r="AJ322" s="231">
        <f t="shared" si="294"/>
        <v>1</v>
      </c>
      <c r="AK322" s="231">
        <f t="shared" si="295"/>
        <v>0</v>
      </c>
      <c r="AL322" s="231">
        <f t="shared" si="296"/>
        <v>0</v>
      </c>
      <c r="AM322" s="231">
        <f t="shared" si="297"/>
        <v>6</v>
      </c>
    </row>
    <row r="323" spans="4:39" x14ac:dyDescent="0.25">
      <c r="D323" s="231">
        <v>165</v>
      </c>
      <c r="F323" s="231" t="s">
        <v>73</v>
      </c>
      <c r="G323" s="231" t="s">
        <v>74</v>
      </c>
      <c r="H323" s="231" t="s">
        <v>69</v>
      </c>
      <c r="I323" s="231" t="s">
        <v>76</v>
      </c>
      <c r="J323" s="231" t="s">
        <v>75</v>
      </c>
      <c r="K323" s="231" t="s">
        <v>77</v>
      </c>
      <c r="L323" s="231" t="s">
        <v>78</v>
      </c>
      <c r="M323" s="231" t="s">
        <v>515</v>
      </c>
      <c r="R323" s="231" t="s">
        <v>573</v>
      </c>
      <c r="S323" s="231" t="s">
        <v>569</v>
      </c>
      <c r="T323" s="231" t="s">
        <v>574</v>
      </c>
      <c r="U323" s="231" t="s">
        <v>572</v>
      </c>
      <c r="V323" s="231" t="s">
        <v>568</v>
      </c>
      <c r="W323" s="231" t="s">
        <v>567</v>
      </c>
      <c r="X323" s="231" t="s">
        <v>564</v>
      </c>
      <c r="Y323" s="231" t="s">
        <v>566</v>
      </c>
      <c r="AA323" s="231">
        <f t="shared" si="285"/>
        <v>0</v>
      </c>
      <c r="AB323" s="231">
        <f t="shared" si="286"/>
        <v>0</v>
      </c>
      <c r="AC323" s="231">
        <f t="shared" si="287"/>
        <v>1</v>
      </c>
      <c r="AD323" s="231">
        <f t="shared" si="288"/>
        <v>1</v>
      </c>
      <c r="AE323" s="231">
        <f t="shared" si="289"/>
        <v>1</v>
      </c>
      <c r="AF323" s="231">
        <f t="shared" si="290"/>
        <v>1</v>
      </c>
      <c r="AG323" s="231">
        <f t="shared" si="291"/>
        <v>1</v>
      </c>
      <c r="AH323" s="231">
        <f t="shared" si="292"/>
        <v>0</v>
      </c>
      <c r="AI323" s="231">
        <f t="shared" si="293"/>
        <v>1</v>
      </c>
      <c r="AJ323" s="231">
        <f t="shared" si="294"/>
        <v>0</v>
      </c>
      <c r="AK323" s="231">
        <f t="shared" si="295"/>
        <v>0</v>
      </c>
      <c r="AL323" s="231">
        <f t="shared" si="296"/>
        <v>0</v>
      </c>
      <c r="AM323" s="231">
        <f t="shared" si="297"/>
        <v>6</v>
      </c>
    </row>
    <row r="324" spans="4:39" x14ac:dyDescent="0.25">
      <c r="D324" s="231">
        <v>166</v>
      </c>
      <c r="E324" s="231" t="s">
        <v>72</v>
      </c>
      <c r="J324" s="231" t="s">
        <v>75</v>
      </c>
      <c r="K324" s="231" t="s">
        <v>77</v>
      </c>
      <c r="L324" s="231" t="s">
        <v>78</v>
      </c>
      <c r="M324" s="231" t="s">
        <v>515</v>
      </c>
      <c r="N324" s="231" t="s">
        <v>516</v>
      </c>
      <c r="O324" s="232" t="s">
        <v>517</v>
      </c>
      <c r="P324" s="231" t="s">
        <v>70</v>
      </c>
      <c r="R324" s="231" t="s">
        <v>568</v>
      </c>
      <c r="S324" s="231" t="s">
        <v>565</v>
      </c>
      <c r="T324" s="231" t="s">
        <v>566</v>
      </c>
      <c r="U324" s="231" t="s">
        <v>567</v>
      </c>
      <c r="V324" s="231" t="s">
        <v>575</v>
      </c>
      <c r="W324" s="231" t="s">
        <v>569</v>
      </c>
      <c r="X324" s="231" t="s">
        <v>570</v>
      </c>
      <c r="Y324" s="231" t="s">
        <v>571</v>
      </c>
      <c r="AA324" s="231">
        <f t="shared" si="285"/>
        <v>0</v>
      </c>
      <c r="AB324" s="231">
        <f t="shared" si="286"/>
        <v>0</v>
      </c>
      <c r="AC324" s="231">
        <f t="shared" si="287"/>
        <v>0</v>
      </c>
      <c r="AD324" s="231">
        <f t="shared" si="288"/>
        <v>0</v>
      </c>
      <c r="AE324" s="231">
        <f t="shared" si="289"/>
        <v>0</v>
      </c>
      <c r="AF324" s="231">
        <f t="shared" si="290"/>
        <v>1</v>
      </c>
      <c r="AG324" s="231">
        <f t="shared" si="291"/>
        <v>1</v>
      </c>
      <c r="AH324" s="231">
        <f t="shared" si="292"/>
        <v>0</v>
      </c>
      <c r="AI324" s="231">
        <f t="shared" si="293"/>
        <v>1</v>
      </c>
      <c r="AJ324" s="231">
        <f t="shared" si="294"/>
        <v>1</v>
      </c>
      <c r="AK324" s="231">
        <f t="shared" si="295"/>
        <v>0</v>
      </c>
      <c r="AL324" s="231">
        <f t="shared" si="296"/>
        <v>1</v>
      </c>
      <c r="AM324" s="231">
        <f t="shared" si="297"/>
        <v>5</v>
      </c>
    </row>
    <row r="325" spans="4:39" x14ac:dyDescent="0.25">
      <c r="D325" s="231">
        <v>167</v>
      </c>
      <c r="E325" s="231" t="s">
        <v>72</v>
      </c>
      <c r="I325" s="231" t="s">
        <v>76</v>
      </c>
      <c r="K325" s="231" t="s">
        <v>77</v>
      </c>
      <c r="L325" s="231" t="s">
        <v>78</v>
      </c>
      <c r="M325" s="231" t="s">
        <v>515</v>
      </c>
      <c r="N325" s="231" t="s">
        <v>516</v>
      </c>
      <c r="O325" s="232" t="s">
        <v>517</v>
      </c>
      <c r="P325" s="231" t="s">
        <v>70</v>
      </c>
      <c r="R325" s="231" t="s">
        <v>564</v>
      </c>
      <c r="S325" s="231" t="s">
        <v>565</v>
      </c>
      <c r="T325" s="231" t="s">
        <v>566</v>
      </c>
      <c r="U325" s="231" t="s">
        <v>575</v>
      </c>
      <c r="V325" s="231" t="s">
        <v>568</v>
      </c>
      <c r="W325" s="231" t="s">
        <v>569</v>
      </c>
      <c r="X325" s="231" t="s">
        <v>570</v>
      </c>
      <c r="Y325" s="231" t="s">
        <v>571</v>
      </c>
      <c r="AA325" s="231">
        <f t="shared" si="285"/>
        <v>0</v>
      </c>
      <c r="AB325" s="231">
        <f t="shared" si="286"/>
        <v>0</v>
      </c>
      <c r="AC325" s="231">
        <f t="shared" si="287"/>
        <v>0</v>
      </c>
      <c r="AD325" s="231">
        <f t="shared" si="288"/>
        <v>0</v>
      </c>
      <c r="AE325" s="231">
        <f t="shared" si="289"/>
        <v>1</v>
      </c>
      <c r="AF325" s="231">
        <f t="shared" si="290"/>
        <v>0</v>
      </c>
      <c r="AG325" s="231">
        <f t="shared" si="291"/>
        <v>1</v>
      </c>
      <c r="AH325" s="231">
        <f t="shared" si="292"/>
        <v>0</v>
      </c>
      <c r="AI325" s="231">
        <f t="shared" si="293"/>
        <v>1</v>
      </c>
      <c r="AJ325" s="231">
        <f t="shared" si="294"/>
        <v>1</v>
      </c>
      <c r="AK325" s="231">
        <f t="shared" si="295"/>
        <v>0</v>
      </c>
      <c r="AL325" s="231">
        <f t="shared" si="296"/>
        <v>1</v>
      </c>
      <c r="AM325" s="231">
        <f t="shared" si="297"/>
        <v>5</v>
      </c>
    </row>
    <row r="326" spans="4:39" x14ac:dyDescent="0.25">
      <c r="D326" s="231">
        <v>168</v>
      </c>
      <c r="E326" s="231" t="s">
        <v>72</v>
      </c>
      <c r="I326" s="231" t="s">
        <v>76</v>
      </c>
      <c r="J326" s="231" t="s">
        <v>75</v>
      </c>
      <c r="L326" s="231" t="s">
        <v>78</v>
      </c>
      <c r="M326" s="231" t="s">
        <v>515</v>
      </c>
      <c r="N326" s="231" t="s">
        <v>516</v>
      </c>
      <c r="O326" s="232" t="s">
        <v>517</v>
      </c>
      <c r="P326" s="231" t="s">
        <v>70</v>
      </c>
      <c r="R326" s="231" t="s">
        <v>564</v>
      </c>
      <c r="S326" s="231" t="s">
        <v>565</v>
      </c>
      <c r="T326" s="231" t="s">
        <v>566</v>
      </c>
      <c r="U326" s="231" t="s">
        <v>567</v>
      </c>
      <c r="V326" s="231" t="s">
        <v>575</v>
      </c>
      <c r="W326" s="231" t="s">
        <v>568</v>
      </c>
      <c r="X326" s="231" t="s">
        <v>570</v>
      </c>
      <c r="Y326" s="231" t="s">
        <v>571</v>
      </c>
      <c r="AA326" s="231">
        <f t="shared" si="285"/>
        <v>0</v>
      </c>
      <c r="AB326" s="231">
        <f t="shared" si="286"/>
        <v>0</v>
      </c>
      <c r="AC326" s="231">
        <f t="shared" si="287"/>
        <v>0</v>
      </c>
      <c r="AD326" s="231">
        <f t="shared" si="288"/>
        <v>0</v>
      </c>
      <c r="AE326" s="231">
        <f t="shared" si="289"/>
        <v>1</v>
      </c>
      <c r="AF326" s="231">
        <f t="shared" si="290"/>
        <v>1</v>
      </c>
      <c r="AG326" s="231">
        <f t="shared" si="291"/>
        <v>0</v>
      </c>
      <c r="AH326" s="231">
        <f t="shared" si="292"/>
        <v>0</v>
      </c>
      <c r="AI326" s="231">
        <f t="shared" si="293"/>
        <v>1</v>
      </c>
      <c r="AJ326" s="231">
        <f t="shared" si="294"/>
        <v>1</v>
      </c>
      <c r="AK326" s="231">
        <f t="shared" si="295"/>
        <v>0</v>
      </c>
      <c r="AL326" s="231">
        <f t="shared" si="296"/>
        <v>1</v>
      </c>
      <c r="AM326" s="231">
        <f t="shared" si="297"/>
        <v>5</v>
      </c>
    </row>
    <row r="327" spans="4:39" x14ac:dyDescent="0.25">
      <c r="D327" s="231">
        <v>169</v>
      </c>
      <c r="E327" s="231" t="s">
        <v>72</v>
      </c>
      <c r="I327" s="231" t="s">
        <v>76</v>
      </c>
      <c r="J327" s="231" t="s">
        <v>75</v>
      </c>
      <c r="K327" s="231" t="s">
        <v>77</v>
      </c>
      <c r="M327" s="231" t="s">
        <v>515</v>
      </c>
      <c r="N327" s="231" t="s">
        <v>516</v>
      </c>
      <c r="O327" s="232" t="s">
        <v>517</v>
      </c>
      <c r="P327" s="231" t="s">
        <v>70</v>
      </c>
      <c r="R327" s="231" t="s">
        <v>564</v>
      </c>
      <c r="S327" s="231" t="s">
        <v>565</v>
      </c>
      <c r="T327" s="231" t="s">
        <v>566</v>
      </c>
      <c r="U327" s="231" t="s">
        <v>567</v>
      </c>
      <c r="V327" s="231" t="s">
        <v>575</v>
      </c>
      <c r="W327" s="231" t="s">
        <v>569</v>
      </c>
      <c r="X327" s="231" t="s">
        <v>570</v>
      </c>
      <c r="Y327" s="231" t="s">
        <v>571</v>
      </c>
      <c r="AA327" s="231">
        <f t="shared" si="285"/>
        <v>0</v>
      </c>
      <c r="AB327" s="231">
        <f t="shared" si="286"/>
        <v>0</v>
      </c>
      <c r="AC327" s="231">
        <f t="shared" si="287"/>
        <v>0</v>
      </c>
      <c r="AD327" s="231">
        <f t="shared" si="288"/>
        <v>0</v>
      </c>
      <c r="AE327" s="231">
        <f t="shared" si="289"/>
        <v>1</v>
      </c>
      <c r="AF327" s="231">
        <f t="shared" si="290"/>
        <v>1</v>
      </c>
      <c r="AG327" s="231">
        <f t="shared" si="291"/>
        <v>1</v>
      </c>
      <c r="AH327" s="231">
        <f t="shared" si="292"/>
        <v>0</v>
      </c>
      <c r="AI327" s="231">
        <f t="shared" si="293"/>
        <v>1</v>
      </c>
      <c r="AJ327" s="231">
        <f t="shared" si="294"/>
        <v>1</v>
      </c>
      <c r="AK327" s="231">
        <f t="shared" si="295"/>
        <v>0</v>
      </c>
      <c r="AL327" s="231">
        <f t="shared" si="296"/>
        <v>1</v>
      </c>
      <c r="AM327" s="231">
        <f t="shared" si="297"/>
        <v>6</v>
      </c>
    </row>
    <row r="328" spans="4:39" x14ac:dyDescent="0.25">
      <c r="D328" s="231">
        <v>170</v>
      </c>
      <c r="E328" s="231" t="s">
        <v>72</v>
      </c>
      <c r="I328" s="231" t="s">
        <v>76</v>
      </c>
      <c r="J328" s="231" t="s">
        <v>75</v>
      </c>
      <c r="K328" s="231" t="s">
        <v>77</v>
      </c>
      <c r="L328" s="231" t="s">
        <v>78</v>
      </c>
      <c r="N328" s="231" t="s">
        <v>516</v>
      </c>
      <c r="O328" s="232" t="s">
        <v>517</v>
      </c>
      <c r="P328" s="231" t="s">
        <v>70</v>
      </c>
      <c r="R328" s="231" t="s">
        <v>564</v>
      </c>
      <c r="S328" s="231" t="s">
        <v>569</v>
      </c>
      <c r="T328" s="231" t="s">
        <v>565</v>
      </c>
      <c r="U328" s="231" t="s">
        <v>567</v>
      </c>
      <c r="V328" s="231" t="s">
        <v>575</v>
      </c>
      <c r="W328" s="231" t="s">
        <v>568</v>
      </c>
      <c r="X328" s="231" t="s">
        <v>570</v>
      </c>
      <c r="Y328" s="231" t="s">
        <v>571</v>
      </c>
      <c r="AA328" s="231">
        <f t="shared" si="285"/>
        <v>0</v>
      </c>
      <c r="AB328" s="231">
        <f t="shared" si="286"/>
        <v>0</v>
      </c>
      <c r="AC328" s="231">
        <f t="shared" si="287"/>
        <v>0</v>
      </c>
      <c r="AD328" s="231">
        <f t="shared" si="288"/>
        <v>0</v>
      </c>
      <c r="AE328" s="231">
        <f t="shared" si="289"/>
        <v>1</v>
      </c>
      <c r="AF328" s="231">
        <f t="shared" si="290"/>
        <v>1</v>
      </c>
      <c r="AG328" s="231">
        <f t="shared" si="291"/>
        <v>1</v>
      </c>
      <c r="AH328" s="231">
        <f t="shared" si="292"/>
        <v>0</v>
      </c>
      <c r="AI328" s="231">
        <f t="shared" si="293"/>
        <v>0</v>
      </c>
      <c r="AJ328" s="231">
        <f t="shared" si="294"/>
        <v>1</v>
      </c>
      <c r="AK328" s="231">
        <f t="shared" si="295"/>
        <v>0</v>
      </c>
      <c r="AL328" s="231">
        <f t="shared" si="296"/>
        <v>1</v>
      </c>
      <c r="AM328" s="231">
        <f t="shared" si="297"/>
        <v>5</v>
      </c>
    </row>
    <row r="329" spans="4:39" x14ac:dyDescent="0.25">
      <c r="D329" s="231">
        <v>171</v>
      </c>
      <c r="E329" s="231" t="s">
        <v>72</v>
      </c>
      <c r="I329" s="231" t="s">
        <v>76</v>
      </c>
      <c r="J329" s="231" t="s">
        <v>75</v>
      </c>
      <c r="K329" s="231" t="s">
        <v>77</v>
      </c>
      <c r="L329" s="231" t="s">
        <v>78</v>
      </c>
      <c r="M329" s="231" t="s">
        <v>515</v>
      </c>
      <c r="O329" s="232" t="s">
        <v>517</v>
      </c>
      <c r="P329" s="231" t="s">
        <v>70</v>
      </c>
      <c r="R329" s="231" t="s">
        <v>564</v>
      </c>
      <c r="S329" s="231" t="s">
        <v>569</v>
      </c>
      <c r="T329" s="231" t="s">
        <v>566</v>
      </c>
      <c r="U329" s="231" t="s">
        <v>567</v>
      </c>
      <c r="V329" s="231" t="s">
        <v>575</v>
      </c>
      <c r="W329" s="231" t="s">
        <v>568</v>
      </c>
      <c r="X329" s="231" t="s">
        <v>570</v>
      </c>
      <c r="Y329" s="231" t="s">
        <v>571</v>
      </c>
      <c r="AA329" s="231">
        <f t="shared" si="285"/>
        <v>0</v>
      </c>
      <c r="AB329" s="231">
        <f t="shared" si="286"/>
        <v>0</v>
      </c>
      <c r="AC329" s="231">
        <f t="shared" si="287"/>
        <v>0</v>
      </c>
      <c r="AD329" s="231">
        <f t="shared" si="288"/>
        <v>0</v>
      </c>
      <c r="AE329" s="231">
        <f t="shared" si="289"/>
        <v>1</v>
      </c>
      <c r="AF329" s="231">
        <f t="shared" si="290"/>
        <v>1</v>
      </c>
      <c r="AG329" s="231">
        <f t="shared" si="291"/>
        <v>1</v>
      </c>
      <c r="AH329" s="231">
        <f t="shared" si="292"/>
        <v>0</v>
      </c>
      <c r="AI329" s="231">
        <f t="shared" si="293"/>
        <v>1</v>
      </c>
      <c r="AJ329" s="231">
        <f t="shared" si="294"/>
        <v>0</v>
      </c>
      <c r="AK329" s="231">
        <f t="shared" si="295"/>
        <v>0</v>
      </c>
      <c r="AL329" s="231">
        <f t="shared" si="296"/>
        <v>1</v>
      </c>
      <c r="AM329" s="231">
        <f t="shared" si="297"/>
        <v>5</v>
      </c>
    </row>
    <row r="330" spans="4:39" x14ac:dyDescent="0.25">
      <c r="D330" s="231">
        <v>172</v>
      </c>
      <c r="E330" s="231" t="s">
        <v>72</v>
      </c>
      <c r="I330" s="231" t="s">
        <v>76</v>
      </c>
      <c r="J330" s="231" t="s">
        <v>75</v>
      </c>
      <c r="K330" s="231" t="s">
        <v>77</v>
      </c>
      <c r="L330" s="231" t="s">
        <v>78</v>
      </c>
      <c r="M330" s="231" t="s">
        <v>515</v>
      </c>
      <c r="N330" s="231" t="s">
        <v>516</v>
      </c>
      <c r="P330" s="231" t="s">
        <v>70</v>
      </c>
      <c r="R330" s="231" t="s">
        <v>564</v>
      </c>
      <c r="S330" s="231" t="s">
        <v>569</v>
      </c>
      <c r="T330" s="231" t="s">
        <v>565</v>
      </c>
      <c r="U330" s="231" t="s">
        <v>567</v>
      </c>
      <c r="V330" s="231" t="s">
        <v>575</v>
      </c>
      <c r="W330" s="231" t="s">
        <v>568</v>
      </c>
      <c r="X330" s="231" t="s">
        <v>570</v>
      </c>
      <c r="Y330" s="231" t="s">
        <v>566</v>
      </c>
      <c r="AA330" s="231">
        <f t="shared" si="285"/>
        <v>0</v>
      </c>
      <c r="AB330" s="231">
        <f t="shared" si="286"/>
        <v>0</v>
      </c>
      <c r="AC330" s="231">
        <f t="shared" si="287"/>
        <v>0</v>
      </c>
      <c r="AD330" s="231">
        <f t="shared" si="288"/>
        <v>0</v>
      </c>
      <c r="AE330" s="231">
        <f t="shared" si="289"/>
        <v>1</v>
      </c>
      <c r="AF330" s="231">
        <f t="shared" si="290"/>
        <v>1</v>
      </c>
      <c r="AG330" s="231">
        <f t="shared" si="291"/>
        <v>1</v>
      </c>
      <c r="AH330" s="231">
        <f t="shared" si="292"/>
        <v>0</v>
      </c>
      <c r="AI330" s="231">
        <f t="shared" si="293"/>
        <v>1</v>
      </c>
      <c r="AJ330" s="231">
        <f t="shared" si="294"/>
        <v>1</v>
      </c>
      <c r="AK330" s="231">
        <f t="shared" si="295"/>
        <v>0</v>
      </c>
      <c r="AL330" s="231">
        <f t="shared" si="296"/>
        <v>1</v>
      </c>
      <c r="AM330" s="231">
        <f t="shared" si="297"/>
        <v>6</v>
      </c>
    </row>
    <row r="331" spans="4:39" x14ac:dyDescent="0.25">
      <c r="D331" s="231">
        <v>173</v>
      </c>
      <c r="E331" s="231" t="s">
        <v>72</v>
      </c>
      <c r="I331" s="231" t="s">
        <v>76</v>
      </c>
      <c r="J331" s="231" t="s">
        <v>75</v>
      </c>
      <c r="K331" s="231" t="s">
        <v>77</v>
      </c>
      <c r="L331" s="231" t="s">
        <v>78</v>
      </c>
      <c r="M331" s="231" t="s">
        <v>515</v>
      </c>
      <c r="N331" s="231" t="s">
        <v>516</v>
      </c>
      <c r="O331" s="232" t="s">
        <v>517</v>
      </c>
      <c r="R331" s="231" t="s">
        <v>564</v>
      </c>
      <c r="S331" s="231" t="s">
        <v>569</v>
      </c>
      <c r="T331" s="231" t="s">
        <v>565</v>
      </c>
      <c r="U331" s="231" t="s">
        <v>567</v>
      </c>
      <c r="V331" s="231" t="s">
        <v>575</v>
      </c>
      <c r="W331" s="231" t="s">
        <v>568</v>
      </c>
      <c r="X331" s="231" t="s">
        <v>566</v>
      </c>
      <c r="Y331" s="231" t="s">
        <v>571</v>
      </c>
      <c r="AA331" s="231">
        <f t="shared" si="285"/>
        <v>0</v>
      </c>
      <c r="AB331" s="231">
        <f t="shared" si="286"/>
        <v>0</v>
      </c>
      <c r="AC331" s="231">
        <f t="shared" si="287"/>
        <v>0</v>
      </c>
      <c r="AD331" s="231">
        <f t="shared" si="288"/>
        <v>0</v>
      </c>
      <c r="AE331" s="231">
        <f t="shared" si="289"/>
        <v>1</v>
      </c>
      <c r="AF331" s="231">
        <f t="shared" si="290"/>
        <v>1</v>
      </c>
      <c r="AG331" s="231">
        <f t="shared" si="291"/>
        <v>1</v>
      </c>
      <c r="AH331" s="231">
        <f t="shared" si="292"/>
        <v>0</v>
      </c>
      <c r="AI331" s="231">
        <f t="shared" si="293"/>
        <v>1</v>
      </c>
      <c r="AJ331" s="231">
        <f t="shared" si="294"/>
        <v>1</v>
      </c>
      <c r="AK331" s="231">
        <f t="shared" si="295"/>
        <v>0</v>
      </c>
      <c r="AL331" s="231">
        <f t="shared" si="296"/>
        <v>0</v>
      </c>
      <c r="AM331" s="231">
        <f t="shared" si="297"/>
        <v>5</v>
      </c>
    </row>
    <row r="332" spans="4:39" x14ac:dyDescent="0.25">
      <c r="D332" s="231">
        <v>174</v>
      </c>
      <c r="E332" s="231" t="s">
        <v>72</v>
      </c>
      <c r="H332" s="231" t="s">
        <v>69</v>
      </c>
      <c r="K332" s="231" t="s">
        <v>77</v>
      </c>
      <c r="L332" s="231" t="s">
        <v>78</v>
      </c>
      <c r="M332" s="231" t="s">
        <v>515</v>
      </c>
      <c r="N332" s="231" t="s">
        <v>516</v>
      </c>
      <c r="O332" s="232" t="s">
        <v>517</v>
      </c>
      <c r="P332" s="231" t="s">
        <v>70</v>
      </c>
      <c r="R332" s="231" t="s">
        <v>568</v>
      </c>
      <c r="S332" s="231" t="s">
        <v>565</v>
      </c>
      <c r="T332" s="231" t="s">
        <v>566</v>
      </c>
      <c r="U332" s="231" t="s">
        <v>572</v>
      </c>
      <c r="V332" s="231" t="s">
        <v>575</v>
      </c>
      <c r="W332" s="231" t="s">
        <v>569</v>
      </c>
      <c r="X332" s="231" t="s">
        <v>570</v>
      </c>
      <c r="Y332" s="231" t="s">
        <v>571</v>
      </c>
      <c r="AA332" s="231">
        <f t="shared" si="285"/>
        <v>0</v>
      </c>
      <c r="AB332" s="231">
        <f t="shared" si="286"/>
        <v>0</v>
      </c>
      <c r="AC332" s="231">
        <f t="shared" si="287"/>
        <v>0</v>
      </c>
      <c r="AD332" s="231">
        <f t="shared" si="288"/>
        <v>1</v>
      </c>
      <c r="AE332" s="231">
        <f t="shared" si="289"/>
        <v>0</v>
      </c>
      <c r="AF332" s="231">
        <f t="shared" si="290"/>
        <v>0</v>
      </c>
      <c r="AG332" s="231">
        <f t="shared" si="291"/>
        <v>1</v>
      </c>
      <c r="AH332" s="231">
        <f t="shared" si="292"/>
        <v>0</v>
      </c>
      <c r="AI332" s="231">
        <f t="shared" si="293"/>
        <v>1</v>
      </c>
      <c r="AJ332" s="231">
        <f t="shared" si="294"/>
        <v>1</v>
      </c>
      <c r="AK332" s="231">
        <f t="shared" si="295"/>
        <v>0</v>
      </c>
      <c r="AL332" s="231">
        <f t="shared" si="296"/>
        <v>1</v>
      </c>
      <c r="AM332" s="231">
        <f t="shared" si="297"/>
        <v>5</v>
      </c>
    </row>
    <row r="333" spans="4:39" x14ac:dyDescent="0.25">
      <c r="D333" s="231">
        <v>175</v>
      </c>
      <c r="E333" s="231" t="s">
        <v>72</v>
      </c>
      <c r="H333" s="231" t="s">
        <v>69</v>
      </c>
      <c r="J333" s="231" t="s">
        <v>75</v>
      </c>
      <c r="L333" s="231" t="s">
        <v>78</v>
      </c>
      <c r="M333" s="231" t="s">
        <v>515</v>
      </c>
      <c r="N333" s="231" t="s">
        <v>516</v>
      </c>
      <c r="O333" s="232" t="s">
        <v>517</v>
      </c>
      <c r="P333" s="231" t="s">
        <v>70</v>
      </c>
      <c r="R333" s="231" t="s">
        <v>568</v>
      </c>
      <c r="S333" s="231" t="s">
        <v>565</v>
      </c>
      <c r="T333" s="231" t="s">
        <v>566</v>
      </c>
      <c r="U333" s="231" t="s">
        <v>572</v>
      </c>
      <c r="V333" s="231" t="s">
        <v>575</v>
      </c>
      <c r="W333" s="231" t="s">
        <v>567</v>
      </c>
      <c r="X333" s="231" t="s">
        <v>570</v>
      </c>
      <c r="Y333" s="231" t="s">
        <v>571</v>
      </c>
      <c r="AA333" s="231">
        <f t="shared" si="285"/>
        <v>0</v>
      </c>
      <c r="AB333" s="231">
        <f t="shared" si="286"/>
        <v>0</v>
      </c>
      <c r="AC333" s="231">
        <f t="shared" si="287"/>
        <v>0</v>
      </c>
      <c r="AD333" s="231">
        <f t="shared" si="288"/>
        <v>1</v>
      </c>
      <c r="AE333" s="231">
        <f t="shared" si="289"/>
        <v>0</v>
      </c>
      <c r="AF333" s="231">
        <f t="shared" si="290"/>
        <v>1</v>
      </c>
      <c r="AG333" s="231">
        <f t="shared" si="291"/>
        <v>0</v>
      </c>
      <c r="AH333" s="231">
        <f t="shared" si="292"/>
        <v>0</v>
      </c>
      <c r="AI333" s="231">
        <f t="shared" si="293"/>
        <v>1</v>
      </c>
      <c r="AJ333" s="231">
        <f t="shared" si="294"/>
        <v>1</v>
      </c>
      <c r="AK333" s="231">
        <f t="shared" si="295"/>
        <v>0</v>
      </c>
      <c r="AL333" s="231">
        <f t="shared" si="296"/>
        <v>1</v>
      </c>
      <c r="AM333" s="231">
        <f t="shared" si="297"/>
        <v>5</v>
      </c>
    </row>
    <row r="334" spans="4:39" x14ac:dyDescent="0.25">
      <c r="D334" s="231">
        <v>176</v>
      </c>
      <c r="E334" s="231" t="s">
        <v>72</v>
      </c>
      <c r="H334" s="231" t="s">
        <v>69</v>
      </c>
      <c r="J334" s="231" t="s">
        <v>75</v>
      </c>
      <c r="K334" s="231" t="s">
        <v>77</v>
      </c>
      <c r="M334" s="231" t="s">
        <v>515</v>
      </c>
      <c r="N334" s="231" t="s">
        <v>516</v>
      </c>
      <c r="O334" s="232" t="s">
        <v>517</v>
      </c>
      <c r="P334" s="231" t="s">
        <v>70</v>
      </c>
      <c r="R334" s="231" t="s">
        <v>566</v>
      </c>
      <c r="S334" s="231" t="s">
        <v>569</v>
      </c>
      <c r="T334" s="231" t="s">
        <v>565</v>
      </c>
      <c r="U334" s="231" t="s">
        <v>572</v>
      </c>
      <c r="V334" s="231" t="s">
        <v>575</v>
      </c>
      <c r="W334" s="231" t="s">
        <v>567</v>
      </c>
      <c r="X334" s="231" t="s">
        <v>570</v>
      </c>
      <c r="Y334" s="231" t="s">
        <v>571</v>
      </c>
      <c r="AA334" s="231">
        <f t="shared" si="285"/>
        <v>0</v>
      </c>
      <c r="AB334" s="231">
        <f t="shared" si="286"/>
        <v>0</v>
      </c>
      <c r="AC334" s="231">
        <f t="shared" si="287"/>
        <v>0</v>
      </c>
      <c r="AD334" s="231">
        <f t="shared" si="288"/>
        <v>1</v>
      </c>
      <c r="AE334" s="231">
        <f t="shared" si="289"/>
        <v>0</v>
      </c>
      <c r="AF334" s="231">
        <f t="shared" si="290"/>
        <v>1</v>
      </c>
      <c r="AG334" s="231">
        <f t="shared" si="291"/>
        <v>1</v>
      </c>
      <c r="AH334" s="231">
        <f t="shared" si="292"/>
        <v>0</v>
      </c>
      <c r="AI334" s="231">
        <f t="shared" si="293"/>
        <v>1</v>
      </c>
      <c r="AJ334" s="231">
        <f t="shared" si="294"/>
        <v>1</v>
      </c>
      <c r="AK334" s="231">
        <f t="shared" si="295"/>
        <v>0</v>
      </c>
      <c r="AL334" s="231">
        <f t="shared" si="296"/>
        <v>1</v>
      </c>
      <c r="AM334" s="231">
        <f t="shared" si="297"/>
        <v>6</v>
      </c>
    </row>
    <row r="335" spans="4:39" x14ac:dyDescent="0.25">
      <c r="D335" s="231">
        <v>177</v>
      </c>
      <c r="E335" s="231" t="s">
        <v>72</v>
      </c>
      <c r="H335" s="231" t="s">
        <v>69</v>
      </c>
      <c r="J335" s="231" t="s">
        <v>75</v>
      </c>
      <c r="K335" s="231" t="s">
        <v>77</v>
      </c>
      <c r="L335" s="231" t="s">
        <v>78</v>
      </c>
      <c r="N335" s="231" t="s">
        <v>516</v>
      </c>
      <c r="O335" s="232" t="s">
        <v>517</v>
      </c>
      <c r="P335" s="231" t="s">
        <v>70</v>
      </c>
      <c r="R335" s="231" t="s">
        <v>568</v>
      </c>
      <c r="S335" s="231" t="s">
        <v>569</v>
      </c>
      <c r="T335" s="231" t="s">
        <v>565</v>
      </c>
      <c r="U335" s="231" t="s">
        <v>572</v>
      </c>
      <c r="V335" s="231" t="s">
        <v>575</v>
      </c>
      <c r="W335" s="231" t="s">
        <v>567</v>
      </c>
      <c r="X335" s="231" t="s">
        <v>570</v>
      </c>
      <c r="Y335" s="231" t="s">
        <v>571</v>
      </c>
      <c r="AA335" s="231">
        <f t="shared" si="285"/>
        <v>0</v>
      </c>
      <c r="AB335" s="231">
        <f t="shared" si="286"/>
        <v>0</v>
      </c>
      <c r="AC335" s="231">
        <f t="shared" si="287"/>
        <v>0</v>
      </c>
      <c r="AD335" s="231">
        <f t="shared" si="288"/>
        <v>1</v>
      </c>
      <c r="AE335" s="231">
        <f t="shared" si="289"/>
        <v>0</v>
      </c>
      <c r="AF335" s="231">
        <f t="shared" si="290"/>
        <v>1</v>
      </c>
      <c r="AG335" s="231">
        <f t="shared" si="291"/>
        <v>1</v>
      </c>
      <c r="AH335" s="231">
        <f t="shared" si="292"/>
        <v>0</v>
      </c>
      <c r="AI335" s="231">
        <f t="shared" si="293"/>
        <v>0</v>
      </c>
      <c r="AJ335" s="231">
        <f t="shared" si="294"/>
        <v>1</v>
      </c>
      <c r="AK335" s="231">
        <f t="shared" si="295"/>
        <v>0</v>
      </c>
      <c r="AL335" s="231">
        <f t="shared" si="296"/>
        <v>1</v>
      </c>
      <c r="AM335" s="231">
        <f t="shared" si="297"/>
        <v>5</v>
      </c>
    </row>
    <row r="336" spans="4:39" x14ac:dyDescent="0.25">
      <c r="D336" s="231">
        <v>178</v>
      </c>
      <c r="E336" s="231" t="s">
        <v>72</v>
      </c>
      <c r="H336" s="231" t="s">
        <v>69</v>
      </c>
      <c r="J336" s="231" t="s">
        <v>75</v>
      </c>
      <c r="K336" s="231" t="s">
        <v>77</v>
      </c>
      <c r="L336" s="231" t="s">
        <v>78</v>
      </c>
      <c r="M336" s="231" t="s">
        <v>515</v>
      </c>
      <c r="O336" s="232" t="s">
        <v>517</v>
      </c>
      <c r="P336" s="231" t="s">
        <v>70</v>
      </c>
      <c r="R336" s="231" t="s">
        <v>568</v>
      </c>
      <c r="S336" s="231" t="s">
        <v>569</v>
      </c>
      <c r="T336" s="231" t="s">
        <v>566</v>
      </c>
      <c r="U336" s="231" t="s">
        <v>572</v>
      </c>
      <c r="V336" s="231" t="s">
        <v>575</v>
      </c>
      <c r="W336" s="231" t="s">
        <v>567</v>
      </c>
      <c r="X336" s="231" t="s">
        <v>570</v>
      </c>
      <c r="Y336" s="231" t="s">
        <v>571</v>
      </c>
      <c r="AA336" s="231">
        <f t="shared" si="285"/>
        <v>0</v>
      </c>
      <c r="AB336" s="231">
        <f t="shared" si="286"/>
        <v>0</v>
      </c>
      <c r="AC336" s="231">
        <f t="shared" si="287"/>
        <v>0</v>
      </c>
      <c r="AD336" s="231">
        <f t="shared" si="288"/>
        <v>1</v>
      </c>
      <c r="AE336" s="231">
        <f t="shared" si="289"/>
        <v>0</v>
      </c>
      <c r="AF336" s="231">
        <f t="shared" si="290"/>
        <v>1</v>
      </c>
      <c r="AG336" s="231">
        <f t="shared" si="291"/>
        <v>1</v>
      </c>
      <c r="AH336" s="231">
        <f t="shared" si="292"/>
        <v>0</v>
      </c>
      <c r="AI336" s="231">
        <f t="shared" si="293"/>
        <v>1</v>
      </c>
      <c r="AJ336" s="231">
        <f t="shared" si="294"/>
        <v>0</v>
      </c>
      <c r="AK336" s="231">
        <f t="shared" si="295"/>
        <v>0</v>
      </c>
      <c r="AL336" s="231">
        <f t="shared" si="296"/>
        <v>1</v>
      </c>
      <c r="AM336" s="231">
        <f t="shared" si="297"/>
        <v>5</v>
      </c>
    </row>
    <row r="337" spans="4:39" x14ac:dyDescent="0.25">
      <c r="D337" s="231">
        <v>179</v>
      </c>
      <c r="E337" s="231" t="s">
        <v>72</v>
      </c>
      <c r="H337" s="231" t="s">
        <v>69</v>
      </c>
      <c r="J337" s="231" t="s">
        <v>75</v>
      </c>
      <c r="K337" s="231" t="s">
        <v>77</v>
      </c>
      <c r="L337" s="231" t="s">
        <v>78</v>
      </c>
      <c r="M337" s="231" t="s">
        <v>515</v>
      </c>
      <c r="N337" s="231" t="s">
        <v>516</v>
      </c>
      <c r="P337" s="231" t="s">
        <v>70</v>
      </c>
      <c r="R337" s="231" t="s">
        <v>568</v>
      </c>
      <c r="S337" s="231" t="s">
        <v>569</v>
      </c>
      <c r="T337" s="231" t="s">
        <v>565</v>
      </c>
      <c r="U337" s="231" t="s">
        <v>572</v>
      </c>
      <c r="V337" s="231" t="s">
        <v>575</v>
      </c>
      <c r="W337" s="231" t="s">
        <v>567</v>
      </c>
      <c r="X337" s="231" t="s">
        <v>570</v>
      </c>
      <c r="Y337" s="231" t="s">
        <v>566</v>
      </c>
      <c r="AA337" s="231">
        <f t="shared" si="285"/>
        <v>0</v>
      </c>
      <c r="AB337" s="231">
        <f t="shared" si="286"/>
        <v>0</v>
      </c>
      <c r="AC337" s="231">
        <f t="shared" si="287"/>
        <v>0</v>
      </c>
      <c r="AD337" s="231">
        <f t="shared" si="288"/>
        <v>1</v>
      </c>
      <c r="AE337" s="231">
        <f t="shared" si="289"/>
        <v>0</v>
      </c>
      <c r="AF337" s="231">
        <f t="shared" si="290"/>
        <v>1</v>
      </c>
      <c r="AG337" s="231">
        <f t="shared" si="291"/>
        <v>1</v>
      </c>
      <c r="AH337" s="231">
        <f t="shared" si="292"/>
        <v>0</v>
      </c>
      <c r="AI337" s="231">
        <f t="shared" si="293"/>
        <v>1</v>
      </c>
      <c r="AJ337" s="231">
        <f t="shared" si="294"/>
        <v>1</v>
      </c>
      <c r="AK337" s="231">
        <f t="shared" si="295"/>
        <v>0</v>
      </c>
      <c r="AL337" s="231">
        <f t="shared" si="296"/>
        <v>1</v>
      </c>
      <c r="AM337" s="231">
        <f t="shared" si="297"/>
        <v>6</v>
      </c>
    </row>
    <row r="338" spans="4:39" x14ac:dyDescent="0.25">
      <c r="D338" s="231">
        <v>180</v>
      </c>
      <c r="E338" s="231" t="s">
        <v>72</v>
      </c>
      <c r="H338" s="231" t="s">
        <v>69</v>
      </c>
      <c r="J338" s="231" t="s">
        <v>75</v>
      </c>
      <c r="K338" s="231" t="s">
        <v>77</v>
      </c>
      <c r="L338" s="231" t="s">
        <v>78</v>
      </c>
      <c r="M338" s="231" t="s">
        <v>515</v>
      </c>
      <c r="N338" s="231" t="s">
        <v>516</v>
      </c>
      <c r="O338" s="232" t="s">
        <v>517</v>
      </c>
      <c r="R338" s="231" t="s">
        <v>568</v>
      </c>
      <c r="S338" s="231" t="s">
        <v>569</v>
      </c>
      <c r="T338" s="231" t="s">
        <v>565</v>
      </c>
      <c r="U338" s="231" t="s">
        <v>572</v>
      </c>
      <c r="V338" s="231" t="s">
        <v>575</v>
      </c>
      <c r="W338" s="231" t="s">
        <v>567</v>
      </c>
      <c r="X338" s="231" t="s">
        <v>566</v>
      </c>
      <c r="Y338" s="231" t="s">
        <v>571</v>
      </c>
      <c r="AA338" s="231">
        <f t="shared" si="285"/>
        <v>0</v>
      </c>
      <c r="AB338" s="231">
        <f t="shared" si="286"/>
        <v>0</v>
      </c>
      <c r="AC338" s="231">
        <f t="shared" si="287"/>
        <v>0</v>
      </c>
      <c r="AD338" s="231">
        <f t="shared" si="288"/>
        <v>1</v>
      </c>
      <c r="AE338" s="231">
        <f t="shared" si="289"/>
        <v>0</v>
      </c>
      <c r="AF338" s="231">
        <f t="shared" si="290"/>
        <v>1</v>
      </c>
      <c r="AG338" s="231">
        <f t="shared" si="291"/>
        <v>1</v>
      </c>
      <c r="AH338" s="231">
        <f t="shared" si="292"/>
        <v>0</v>
      </c>
      <c r="AI338" s="231">
        <f t="shared" si="293"/>
        <v>1</v>
      </c>
      <c r="AJ338" s="231">
        <f t="shared" si="294"/>
        <v>1</v>
      </c>
      <c r="AK338" s="231">
        <f t="shared" si="295"/>
        <v>0</v>
      </c>
      <c r="AL338" s="231">
        <f t="shared" si="296"/>
        <v>0</v>
      </c>
      <c r="AM338" s="231">
        <f t="shared" si="297"/>
        <v>5</v>
      </c>
    </row>
    <row r="339" spans="4:39" x14ac:dyDescent="0.25">
      <c r="D339" s="231">
        <v>181</v>
      </c>
      <c r="E339" s="231" t="s">
        <v>72</v>
      </c>
      <c r="H339" s="231" t="s">
        <v>69</v>
      </c>
      <c r="I339" s="231" t="s">
        <v>76</v>
      </c>
      <c r="L339" s="231" t="s">
        <v>78</v>
      </c>
      <c r="M339" s="231" t="s">
        <v>515</v>
      </c>
      <c r="N339" s="231" t="s">
        <v>516</v>
      </c>
      <c r="O339" s="232" t="s">
        <v>517</v>
      </c>
      <c r="P339" s="231" t="s">
        <v>70</v>
      </c>
      <c r="R339" s="231" t="s">
        <v>564</v>
      </c>
      <c r="S339" s="231" t="s">
        <v>565</v>
      </c>
      <c r="T339" s="231" t="s">
        <v>566</v>
      </c>
      <c r="U339" s="231" t="s">
        <v>572</v>
      </c>
      <c r="V339" s="231" t="s">
        <v>575</v>
      </c>
      <c r="W339" s="231" t="s">
        <v>568</v>
      </c>
      <c r="X339" s="231" t="s">
        <v>570</v>
      </c>
      <c r="Y339" s="231" t="s">
        <v>571</v>
      </c>
      <c r="AA339" s="231">
        <f t="shared" si="285"/>
        <v>0</v>
      </c>
      <c r="AB339" s="231">
        <f t="shared" si="286"/>
        <v>0</v>
      </c>
      <c r="AC339" s="231">
        <f t="shared" si="287"/>
        <v>0</v>
      </c>
      <c r="AD339" s="231">
        <f t="shared" si="288"/>
        <v>1</v>
      </c>
      <c r="AE339" s="231">
        <f t="shared" si="289"/>
        <v>1</v>
      </c>
      <c r="AF339" s="231">
        <f t="shared" si="290"/>
        <v>0</v>
      </c>
      <c r="AG339" s="231">
        <f t="shared" si="291"/>
        <v>0</v>
      </c>
      <c r="AH339" s="231">
        <f t="shared" si="292"/>
        <v>0</v>
      </c>
      <c r="AI339" s="231">
        <f t="shared" si="293"/>
        <v>1</v>
      </c>
      <c r="AJ339" s="231">
        <f t="shared" si="294"/>
        <v>1</v>
      </c>
      <c r="AK339" s="231">
        <f t="shared" si="295"/>
        <v>0</v>
      </c>
      <c r="AL339" s="231">
        <f t="shared" si="296"/>
        <v>1</v>
      </c>
      <c r="AM339" s="231">
        <f t="shared" si="297"/>
        <v>5</v>
      </c>
    </row>
    <row r="340" spans="4:39" x14ac:dyDescent="0.25">
      <c r="D340" s="231">
        <v>182</v>
      </c>
      <c r="E340" s="231" t="s">
        <v>72</v>
      </c>
      <c r="H340" s="231" t="s">
        <v>69</v>
      </c>
      <c r="I340" s="231" t="s">
        <v>76</v>
      </c>
      <c r="K340" s="231" t="s">
        <v>77</v>
      </c>
      <c r="M340" s="231" t="s">
        <v>515</v>
      </c>
      <c r="N340" s="231" t="s">
        <v>516</v>
      </c>
      <c r="O340" s="232" t="s">
        <v>517</v>
      </c>
      <c r="P340" s="231" t="s">
        <v>70</v>
      </c>
      <c r="R340" s="231" t="s">
        <v>564</v>
      </c>
      <c r="S340" s="231" t="s">
        <v>565</v>
      </c>
      <c r="T340" s="231" t="s">
        <v>566</v>
      </c>
      <c r="U340" s="231" t="s">
        <v>572</v>
      </c>
      <c r="V340" s="231" t="s">
        <v>575</v>
      </c>
      <c r="W340" s="231" t="s">
        <v>569</v>
      </c>
      <c r="X340" s="231" t="s">
        <v>570</v>
      </c>
      <c r="Y340" s="231" t="s">
        <v>571</v>
      </c>
      <c r="AA340" s="231">
        <f t="shared" si="285"/>
        <v>0</v>
      </c>
      <c r="AB340" s="231">
        <f t="shared" si="286"/>
        <v>0</v>
      </c>
      <c r="AC340" s="231">
        <f t="shared" si="287"/>
        <v>0</v>
      </c>
      <c r="AD340" s="231">
        <f t="shared" si="288"/>
        <v>1</v>
      </c>
      <c r="AE340" s="231">
        <f t="shared" si="289"/>
        <v>1</v>
      </c>
      <c r="AF340" s="231">
        <f t="shared" si="290"/>
        <v>0</v>
      </c>
      <c r="AG340" s="231">
        <f t="shared" si="291"/>
        <v>1</v>
      </c>
      <c r="AH340" s="231">
        <f t="shared" si="292"/>
        <v>0</v>
      </c>
      <c r="AI340" s="231">
        <f t="shared" si="293"/>
        <v>1</v>
      </c>
      <c r="AJ340" s="231">
        <f t="shared" si="294"/>
        <v>1</v>
      </c>
      <c r="AK340" s="231">
        <f t="shared" si="295"/>
        <v>0</v>
      </c>
      <c r="AL340" s="231">
        <f t="shared" si="296"/>
        <v>1</v>
      </c>
      <c r="AM340" s="231">
        <f t="shared" si="297"/>
        <v>6</v>
      </c>
    </row>
    <row r="341" spans="4:39" x14ac:dyDescent="0.25">
      <c r="D341" s="231">
        <v>183</v>
      </c>
      <c r="E341" s="231" t="s">
        <v>72</v>
      </c>
      <c r="H341" s="231" t="s">
        <v>69</v>
      </c>
      <c r="I341" s="231" t="s">
        <v>76</v>
      </c>
      <c r="K341" s="231" t="s">
        <v>77</v>
      </c>
      <c r="L341" s="231" t="s">
        <v>78</v>
      </c>
      <c r="N341" s="231" t="s">
        <v>516</v>
      </c>
      <c r="O341" s="232" t="s">
        <v>517</v>
      </c>
      <c r="P341" s="231" t="s">
        <v>70</v>
      </c>
      <c r="R341" s="231" t="s">
        <v>564</v>
      </c>
      <c r="S341" s="231" t="s">
        <v>569</v>
      </c>
      <c r="T341" s="231" t="s">
        <v>565</v>
      </c>
      <c r="U341" s="231" t="s">
        <v>572</v>
      </c>
      <c r="V341" s="231" t="s">
        <v>575</v>
      </c>
      <c r="W341" s="231" t="s">
        <v>568</v>
      </c>
      <c r="X341" s="231" t="s">
        <v>570</v>
      </c>
      <c r="Y341" s="231" t="s">
        <v>571</v>
      </c>
      <c r="AA341" s="231">
        <f t="shared" si="285"/>
        <v>0</v>
      </c>
      <c r="AB341" s="231">
        <f t="shared" si="286"/>
        <v>0</v>
      </c>
      <c r="AC341" s="231">
        <f t="shared" si="287"/>
        <v>0</v>
      </c>
      <c r="AD341" s="231">
        <f t="shared" si="288"/>
        <v>1</v>
      </c>
      <c r="AE341" s="231">
        <f t="shared" si="289"/>
        <v>1</v>
      </c>
      <c r="AF341" s="231">
        <f t="shared" si="290"/>
        <v>0</v>
      </c>
      <c r="AG341" s="231">
        <f t="shared" si="291"/>
        <v>1</v>
      </c>
      <c r="AH341" s="231">
        <f t="shared" si="292"/>
        <v>0</v>
      </c>
      <c r="AI341" s="231">
        <f t="shared" si="293"/>
        <v>0</v>
      </c>
      <c r="AJ341" s="231">
        <f t="shared" si="294"/>
        <v>1</v>
      </c>
      <c r="AK341" s="231">
        <f t="shared" si="295"/>
        <v>0</v>
      </c>
      <c r="AL341" s="231">
        <f t="shared" si="296"/>
        <v>1</v>
      </c>
      <c r="AM341" s="231">
        <f t="shared" si="297"/>
        <v>5</v>
      </c>
    </row>
    <row r="342" spans="4:39" x14ac:dyDescent="0.25">
      <c r="D342" s="231">
        <v>184</v>
      </c>
      <c r="E342" s="231" t="s">
        <v>72</v>
      </c>
      <c r="H342" s="231" t="s">
        <v>69</v>
      </c>
      <c r="I342" s="231" t="s">
        <v>76</v>
      </c>
      <c r="K342" s="231" t="s">
        <v>77</v>
      </c>
      <c r="L342" s="231" t="s">
        <v>78</v>
      </c>
      <c r="M342" s="231" t="s">
        <v>515</v>
      </c>
      <c r="O342" s="232" t="s">
        <v>517</v>
      </c>
      <c r="P342" s="231" t="s">
        <v>70</v>
      </c>
      <c r="R342" s="231" t="s">
        <v>564</v>
      </c>
      <c r="S342" s="231" t="s">
        <v>569</v>
      </c>
      <c r="T342" s="231" t="s">
        <v>566</v>
      </c>
      <c r="U342" s="231" t="s">
        <v>572</v>
      </c>
      <c r="V342" s="231" t="s">
        <v>575</v>
      </c>
      <c r="W342" s="231" t="s">
        <v>568</v>
      </c>
      <c r="X342" s="231" t="s">
        <v>570</v>
      </c>
      <c r="Y342" s="231" t="s">
        <v>571</v>
      </c>
      <c r="AA342" s="231">
        <f t="shared" si="285"/>
        <v>0</v>
      </c>
      <c r="AB342" s="231">
        <f t="shared" si="286"/>
        <v>0</v>
      </c>
      <c r="AC342" s="231">
        <f t="shared" si="287"/>
        <v>0</v>
      </c>
      <c r="AD342" s="231">
        <f t="shared" si="288"/>
        <v>1</v>
      </c>
      <c r="AE342" s="231">
        <f t="shared" si="289"/>
        <v>1</v>
      </c>
      <c r="AF342" s="231">
        <f t="shared" si="290"/>
        <v>0</v>
      </c>
      <c r="AG342" s="231">
        <f t="shared" si="291"/>
        <v>1</v>
      </c>
      <c r="AH342" s="231">
        <f t="shared" si="292"/>
        <v>0</v>
      </c>
      <c r="AI342" s="231">
        <f t="shared" si="293"/>
        <v>1</v>
      </c>
      <c r="AJ342" s="231">
        <f t="shared" si="294"/>
        <v>0</v>
      </c>
      <c r="AK342" s="231">
        <f t="shared" si="295"/>
        <v>0</v>
      </c>
      <c r="AL342" s="231">
        <f t="shared" si="296"/>
        <v>1</v>
      </c>
      <c r="AM342" s="231">
        <f t="shared" si="297"/>
        <v>5</v>
      </c>
    </row>
    <row r="343" spans="4:39" x14ac:dyDescent="0.25">
      <c r="D343" s="231">
        <v>185</v>
      </c>
      <c r="E343" s="231" t="s">
        <v>72</v>
      </c>
      <c r="H343" s="231" t="s">
        <v>69</v>
      </c>
      <c r="I343" s="231" t="s">
        <v>76</v>
      </c>
      <c r="K343" s="231" t="s">
        <v>77</v>
      </c>
      <c r="L343" s="231" t="s">
        <v>78</v>
      </c>
      <c r="M343" s="231" t="s">
        <v>515</v>
      </c>
      <c r="N343" s="231" t="s">
        <v>516</v>
      </c>
      <c r="P343" s="231" t="s">
        <v>70</v>
      </c>
      <c r="R343" s="231" t="s">
        <v>564</v>
      </c>
      <c r="S343" s="231" t="s">
        <v>569</v>
      </c>
      <c r="T343" s="231" t="s">
        <v>565</v>
      </c>
      <c r="U343" s="231" t="s">
        <v>572</v>
      </c>
      <c r="V343" s="231" t="s">
        <v>575</v>
      </c>
      <c r="W343" s="231" t="s">
        <v>568</v>
      </c>
      <c r="X343" s="231" t="s">
        <v>570</v>
      </c>
      <c r="Y343" s="231" t="s">
        <v>566</v>
      </c>
      <c r="AA343" s="231">
        <f t="shared" si="285"/>
        <v>0</v>
      </c>
      <c r="AB343" s="231">
        <f t="shared" si="286"/>
        <v>0</v>
      </c>
      <c r="AC343" s="231">
        <f t="shared" si="287"/>
        <v>0</v>
      </c>
      <c r="AD343" s="231">
        <f t="shared" si="288"/>
        <v>1</v>
      </c>
      <c r="AE343" s="231">
        <f t="shared" si="289"/>
        <v>1</v>
      </c>
      <c r="AF343" s="231">
        <f t="shared" si="290"/>
        <v>0</v>
      </c>
      <c r="AG343" s="231">
        <f t="shared" si="291"/>
        <v>1</v>
      </c>
      <c r="AH343" s="231">
        <f t="shared" si="292"/>
        <v>0</v>
      </c>
      <c r="AI343" s="231">
        <f t="shared" si="293"/>
        <v>1</v>
      </c>
      <c r="AJ343" s="231">
        <f t="shared" si="294"/>
        <v>1</v>
      </c>
      <c r="AK343" s="231">
        <f t="shared" si="295"/>
        <v>0</v>
      </c>
      <c r="AL343" s="231">
        <f t="shared" si="296"/>
        <v>1</v>
      </c>
      <c r="AM343" s="231">
        <f t="shared" si="297"/>
        <v>6</v>
      </c>
    </row>
    <row r="344" spans="4:39" x14ac:dyDescent="0.25">
      <c r="D344" s="231">
        <v>186</v>
      </c>
      <c r="E344" s="231" t="s">
        <v>72</v>
      </c>
      <c r="H344" s="231" t="s">
        <v>69</v>
      </c>
      <c r="I344" s="231" t="s">
        <v>76</v>
      </c>
      <c r="K344" s="231" t="s">
        <v>77</v>
      </c>
      <c r="L344" s="231" t="s">
        <v>78</v>
      </c>
      <c r="M344" s="231" t="s">
        <v>515</v>
      </c>
      <c r="N344" s="231" t="s">
        <v>516</v>
      </c>
      <c r="O344" s="232" t="s">
        <v>517</v>
      </c>
      <c r="R344" s="231" t="s">
        <v>564</v>
      </c>
      <c r="S344" s="231" t="s">
        <v>569</v>
      </c>
      <c r="T344" s="231" t="s">
        <v>565</v>
      </c>
      <c r="U344" s="231" t="s">
        <v>572</v>
      </c>
      <c r="V344" s="231" t="s">
        <v>575</v>
      </c>
      <c r="W344" s="231" t="s">
        <v>568</v>
      </c>
      <c r="X344" s="231" t="s">
        <v>566</v>
      </c>
      <c r="Y344" s="231" t="s">
        <v>571</v>
      </c>
      <c r="AA344" s="231">
        <f t="shared" si="285"/>
        <v>0</v>
      </c>
      <c r="AB344" s="231">
        <f t="shared" si="286"/>
        <v>0</v>
      </c>
      <c r="AC344" s="231">
        <f t="shared" si="287"/>
        <v>0</v>
      </c>
      <c r="AD344" s="231">
        <f t="shared" si="288"/>
        <v>1</v>
      </c>
      <c r="AE344" s="231">
        <f t="shared" si="289"/>
        <v>1</v>
      </c>
      <c r="AF344" s="231">
        <f t="shared" si="290"/>
        <v>0</v>
      </c>
      <c r="AG344" s="231">
        <f t="shared" si="291"/>
        <v>1</v>
      </c>
      <c r="AH344" s="231">
        <f t="shared" si="292"/>
        <v>0</v>
      </c>
      <c r="AI344" s="231">
        <f t="shared" si="293"/>
        <v>1</v>
      </c>
      <c r="AJ344" s="231">
        <f t="shared" si="294"/>
        <v>1</v>
      </c>
      <c r="AK344" s="231">
        <f t="shared" si="295"/>
        <v>0</v>
      </c>
      <c r="AL344" s="231">
        <f t="shared" si="296"/>
        <v>0</v>
      </c>
      <c r="AM344" s="231">
        <f t="shared" si="297"/>
        <v>5</v>
      </c>
    </row>
    <row r="345" spans="4:39" x14ac:dyDescent="0.25">
      <c r="D345" s="231">
        <v>187</v>
      </c>
      <c r="E345" s="231" t="s">
        <v>72</v>
      </c>
      <c r="H345" s="231" t="s">
        <v>69</v>
      </c>
      <c r="I345" s="231" t="s">
        <v>76</v>
      </c>
      <c r="J345" s="231" t="s">
        <v>75</v>
      </c>
      <c r="M345" s="231" t="s">
        <v>515</v>
      </c>
      <c r="N345" s="231" t="s">
        <v>516</v>
      </c>
      <c r="O345" s="232" t="s">
        <v>517</v>
      </c>
      <c r="P345" s="231" t="s">
        <v>70</v>
      </c>
      <c r="R345" s="231" t="s">
        <v>564</v>
      </c>
      <c r="S345" s="231" t="s">
        <v>565</v>
      </c>
      <c r="T345" s="231" t="s">
        <v>566</v>
      </c>
      <c r="U345" s="231" t="s">
        <v>572</v>
      </c>
      <c r="V345" s="231" t="s">
        <v>575</v>
      </c>
      <c r="W345" s="231" t="s">
        <v>567</v>
      </c>
      <c r="X345" s="231" t="s">
        <v>570</v>
      </c>
      <c r="Y345" s="231" t="s">
        <v>571</v>
      </c>
      <c r="AA345" s="231">
        <f t="shared" si="285"/>
        <v>0</v>
      </c>
      <c r="AB345" s="231">
        <f t="shared" si="286"/>
        <v>0</v>
      </c>
      <c r="AC345" s="231">
        <f t="shared" si="287"/>
        <v>0</v>
      </c>
      <c r="AD345" s="231">
        <f t="shared" si="288"/>
        <v>1</v>
      </c>
      <c r="AE345" s="231">
        <f t="shared" si="289"/>
        <v>1</v>
      </c>
      <c r="AF345" s="231">
        <f t="shared" si="290"/>
        <v>1</v>
      </c>
      <c r="AG345" s="231">
        <f t="shared" si="291"/>
        <v>0</v>
      </c>
      <c r="AH345" s="231">
        <f t="shared" si="292"/>
        <v>0</v>
      </c>
      <c r="AI345" s="231">
        <f t="shared" si="293"/>
        <v>1</v>
      </c>
      <c r="AJ345" s="231">
        <f t="shared" si="294"/>
        <v>1</v>
      </c>
      <c r="AK345" s="231">
        <f t="shared" si="295"/>
        <v>0</v>
      </c>
      <c r="AL345" s="231">
        <f t="shared" si="296"/>
        <v>1</v>
      </c>
      <c r="AM345" s="231">
        <f t="shared" si="297"/>
        <v>6</v>
      </c>
    </row>
    <row r="346" spans="4:39" x14ac:dyDescent="0.25">
      <c r="D346" s="231">
        <v>188</v>
      </c>
      <c r="E346" s="231" t="s">
        <v>72</v>
      </c>
      <c r="H346" s="231" t="s">
        <v>69</v>
      </c>
      <c r="I346" s="231" t="s">
        <v>76</v>
      </c>
      <c r="J346" s="231" t="s">
        <v>75</v>
      </c>
      <c r="L346" s="231" t="s">
        <v>78</v>
      </c>
      <c r="N346" s="231" t="s">
        <v>516</v>
      </c>
      <c r="O346" s="232" t="s">
        <v>517</v>
      </c>
      <c r="P346" s="231" t="s">
        <v>70</v>
      </c>
      <c r="R346" s="231" t="s">
        <v>568</v>
      </c>
      <c r="S346" s="231" t="s">
        <v>565</v>
      </c>
      <c r="T346" s="231" t="s">
        <v>564</v>
      </c>
      <c r="U346" s="231" t="s">
        <v>572</v>
      </c>
      <c r="V346" s="231" t="s">
        <v>575</v>
      </c>
      <c r="W346" s="231" t="s">
        <v>567</v>
      </c>
      <c r="X346" s="231" t="s">
        <v>570</v>
      </c>
      <c r="Y346" s="231" t="s">
        <v>571</v>
      </c>
      <c r="AA346" s="231">
        <f t="shared" si="285"/>
        <v>0</v>
      </c>
      <c r="AB346" s="231">
        <f t="shared" si="286"/>
        <v>0</v>
      </c>
      <c r="AC346" s="231">
        <f t="shared" si="287"/>
        <v>0</v>
      </c>
      <c r="AD346" s="231">
        <f t="shared" si="288"/>
        <v>1</v>
      </c>
      <c r="AE346" s="231">
        <f t="shared" si="289"/>
        <v>1</v>
      </c>
      <c r="AF346" s="231">
        <f t="shared" si="290"/>
        <v>1</v>
      </c>
      <c r="AG346" s="231">
        <f t="shared" si="291"/>
        <v>0</v>
      </c>
      <c r="AH346" s="231">
        <f t="shared" si="292"/>
        <v>0</v>
      </c>
      <c r="AI346" s="231">
        <f t="shared" si="293"/>
        <v>0</v>
      </c>
      <c r="AJ346" s="231">
        <f t="shared" si="294"/>
        <v>1</v>
      </c>
      <c r="AK346" s="231">
        <f t="shared" si="295"/>
        <v>0</v>
      </c>
      <c r="AL346" s="231">
        <f t="shared" si="296"/>
        <v>1</v>
      </c>
      <c r="AM346" s="231">
        <f t="shared" si="297"/>
        <v>5</v>
      </c>
    </row>
    <row r="347" spans="4:39" x14ac:dyDescent="0.25">
      <c r="D347" s="231">
        <v>189</v>
      </c>
      <c r="E347" s="231" t="s">
        <v>72</v>
      </c>
      <c r="H347" s="231" t="s">
        <v>69</v>
      </c>
      <c r="I347" s="231" t="s">
        <v>76</v>
      </c>
      <c r="J347" s="231" t="s">
        <v>75</v>
      </c>
      <c r="L347" s="231" t="s">
        <v>78</v>
      </c>
      <c r="M347" s="231" t="s">
        <v>515</v>
      </c>
      <c r="O347" s="232" t="s">
        <v>517</v>
      </c>
      <c r="P347" s="231" t="s">
        <v>70</v>
      </c>
      <c r="R347" s="231" t="s">
        <v>568</v>
      </c>
      <c r="S347" s="231" t="s">
        <v>564</v>
      </c>
      <c r="T347" s="231" t="s">
        <v>566</v>
      </c>
      <c r="U347" s="231" t="s">
        <v>572</v>
      </c>
      <c r="V347" s="231" t="s">
        <v>575</v>
      </c>
      <c r="W347" s="231" t="s">
        <v>567</v>
      </c>
      <c r="X347" s="231" t="s">
        <v>570</v>
      </c>
      <c r="Y347" s="231" t="s">
        <v>571</v>
      </c>
      <c r="AA347" s="231">
        <f t="shared" si="285"/>
        <v>0</v>
      </c>
      <c r="AB347" s="231">
        <f t="shared" si="286"/>
        <v>0</v>
      </c>
      <c r="AC347" s="231">
        <f t="shared" si="287"/>
        <v>0</v>
      </c>
      <c r="AD347" s="231">
        <f t="shared" si="288"/>
        <v>1</v>
      </c>
      <c r="AE347" s="231">
        <f t="shared" si="289"/>
        <v>1</v>
      </c>
      <c r="AF347" s="231">
        <f t="shared" si="290"/>
        <v>1</v>
      </c>
      <c r="AG347" s="231">
        <f t="shared" si="291"/>
        <v>0</v>
      </c>
      <c r="AH347" s="231">
        <f t="shared" si="292"/>
        <v>0</v>
      </c>
      <c r="AI347" s="231">
        <f t="shared" si="293"/>
        <v>1</v>
      </c>
      <c r="AJ347" s="231">
        <f t="shared" si="294"/>
        <v>0</v>
      </c>
      <c r="AK347" s="231">
        <f t="shared" si="295"/>
        <v>0</v>
      </c>
      <c r="AL347" s="231">
        <f t="shared" si="296"/>
        <v>1</v>
      </c>
      <c r="AM347" s="231">
        <f t="shared" si="297"/>
        <v>5</v>
      </c>
    </row>
    <row r="348" spans="4:39" x14ac:dyDescent="0.25">
      <c r="D348" s="231">
        <v>190</v>
      </c>
      <c r="E348" s="231" t="s">
        <v>72</v>
      </c>
      <c r="H348" s="231" t="s">
        <v>69</v>
      </c>
      <c r="I348" s="231" t="s">
        <v>76</v>
      </c>
      <c r="J348" s="231" t="s">
        <v>75</v>
      </c>
      <c r="L348" s="231" t="s">
        <v>78</v>
      </c>
      <c r="M348" s="231" t="s">
        <v>515</v>
      </c>
      <c r="N348" s="231" t="s">
        <v>516</v>
      </c>
      <c r="P348" s="231" t="s">
        <v>70</v>
      </c>
      <c r="R348" s="231" t="s">
        <v>568</v>
      </c>
      <c r="S348" s="231" t="s">
        <v>565</v>
      </c>
      <c r="T348" s="231" t="s">
        <v>564</v>
      </c>
      <c r="U348" s="231" t="s">
        <v>572</v>
      </c>
      <c r="V348" s="231" t="s">
        <v>575</v>
      </c>
      <c r="W348" s="231" t="s">
        <v>567</v>
      </c>
      <c r="X348" s="231" t="s">
        <v>570</v>
      </c>
      <c r="Y348" s="231" t="s">
        <v>566</v>
      </c>
      <c r="AA348" s="231">
        <f t="shared" si="285"/>
        <v>0</v>
      </c>
      <c r="AB348" s="231">
        <f t="shared" si="286"/>
        <v>0</v>
      </c>
      <c r="AC348" s="231">
        <f t="shared" si="287"/>
        <v>0</v>
      </c>
      <c r="AD348" s="231">
        <f t="shared" si="288"/>
        <v>1</v>
      </c>
      <c r="AE348" s="231">
        <f t="shared" si="289"/>
        <v>1</v>
      </c>
      <c r="AF348" s="231">
        <f t="shared" si="290"/>
        <v>1</v>
      </c>
      <c r="AG348" s="231">
        <f t="shared" si="291"/>
        <v>0</v>
      </c>
      <c r="AH348" s="231">
        <f t="shared" si="292"/>
        <v>0</v>
      </c>
      <c r="AI348" s="231">
        <f t="shared" si="293"/>
        <v>1</v>
      </c>
      <c r="AJ348" s="231">
        <f t="shared" si="294"/>
        <v>1</v>
      </c>
      <c r="AK348" s="231">
        <f t="shared" si="295"/>
        <v>0</v>
      </c>
      <c r="AL348" s="231">
        <f t="shared" si="296"/>
        <v>1</v>
      </c>
      <c r="AM348" s="231">
        <f t="shared" si="297"/>
        <v>6</v>
      </c>
    </row>
    <row r="349" spans="4:39" x14ac:dyDescent="0.25">
      <c r="D349" s="231">
        <v>191</v>
      </c>
      <c r="E349" s="231" t="s">
        <v>72</v>
      </c>
      <c r="H349" s="231" t="s">
        <v>69</v>
      </c>
      <c r="I349" s="231" t="s">
        <v>76</v>
      </c>
      <c r="J349" s="231" t="s">
        <v>75</v>
      </c>
      <c r="L349" s="231" t="s">
        <v>78</v>
      </c>
      <c r="M349" s="231" t="s">
        <v>515</v>
      </c>
      <c r="N349" s="231" t="s">
        <v>516</v>
      </c>
      <c r="O349" s="232" t="s">
        <v>517</v>
      </c>
      <c r="R349" s="231" t="s">
        <v>568</v>
      </c>
      <c r="S349" s="231" t="s">
        <v>565</v>
      </c>
      <c r="T349" s="231" t="s">
        <v>564</v>
      </c>
      <c r="U349" s="231" t="s">
        <v>572</v>
      </c>
      <c r="V349" s="231" t="s">
        <v>575</v>
      </c>
      <c r="W349" s="231" t="s">
        <v>567</v>
      </c>
      <c r="X349" s="231" t="s">
        <v>566</v>
      </c>
      <c r="Y349" s="231" t="s">
        <v>571</v>
      </c>
      <c r="AA349" s="231">
        <f t="shared" si="285"/>
        <v>0</v>
      </c>
      <c r="AB349" s="231">
        <f t="shared" si="286"/>
        <v>0</v>
      </c>
      <c r="AC349" s="231">
        <f t="shared" si="287"/>
        <v>0</v>
      </c>
      <c r="AD349" s="231">
        <f t="shared" si="288"/>
        <v>1</v>
      </c>
      <c r="AE349" s="231">
        <f t="shared" si="289"/>
        <v>1</v>
      </c>
      <c r="AF349" s="231">
        <f t="shared" si="290"/>
        <v>1</v>
      </c>
      <c r="AG349" s="231">
        <f t="shared" si="291"/>
        <v>0</v>
      </c>
      <c r="AH349" s="231">
        <f t="shared" si="292"/>
        <v>0</v>
      </c>
      <c r="AI349" s="231">
        <f t="shared" si="293"/>
        <v>1</v>
      </c>
      <c r="AJ349" s="231">
        <f t="shared" si="294"/>
        <v>1</v>
      </c>
      <c r="AK349" s="231">
        <f t="shared" si="295"/>
        <v>0</v>
      </c>
      <c r="AL349" s="231">
        <f t="shared" si="296"/>
        <v>0</v>
      </c>
      <c r="AM349" s="231">
        <f t="shared" si="297"/>
        <v>5</v>
      </c>
    </row>
    <row r="350" spans="4:39" x14ac:dyDescent="0.25">
      <c r="D350" s="231">
        <v>192</v>
      </c>
      <c r="E350" s="231" t="s">
        <v>72</v>
      </c>
      <c r="H350" s="231" t="s">
        <v>69</v>
      </c>
      <c r="I350" s="231" t="s">
        <v>76</v>
      </c>
      <c r="J350" s="231" t="s">
        <v>75</v>
      </c>
      <c r="K350" s="231" t="s">
        <v>77</v>
      </c>
      <c r="N350" s="231" t="s">
        <v>516</v>
      </c>
      <c r="O350" s="232" t="s">
        <v>517</v>
      </c>
      <c r="P350" s="231" t="s">
        <v>70</v>
      </c>
      <c r="R350" s="231" t="s">
        <v>564</v>
      </c>
      <c r="S350" s="231" t="s">
        <v>569</v>
      </c>
      <c r="T350" s="231" t="s">
        <v>565</v>
      </c>
      <c r="U350" s="231" t="s">
        <v>572</v>
      </c>
      <c r="V350" s="231" t="s">
        <v>575</v>
      </c>
      <c r="W350" s="231" t="s">
        <v>567</v>
      </c>
      <c r="X350" s="231" t="s">
        <v>570</v>
      </c>
      <c r="Y350" s="231" t="s">
        <v>571</v>
      </c>
      <c r="AA350" s="231">
        <f t="shared" si="285"/>
        <v>0</v>
      </c>
      <c r="AB350" s="231">
        <f t="shared" si="286"/>
        <v>0</v>
      </c>
      <c r="AC350" s="231">
        <f t="shared" si="287"/>
        <v>0</v>
      </c>
      <c r="AD350" s="231">
        <f t="shared" si="288"/>
        <v>1</v>
      </c>
      <c r="AE350" s="231">
        <f t="shared" si="289"/>
        <v>1</v>
      </c>
      <c r="AF350" s="231">
        <f t="shared" si="290"/>
        <v>1</v>
      </c>
      <c r="AG350" s="231">
        <f t="shared" si="291"/>
        <v>1</v>
      </c>
      <c r="AH350" s="231">
        <f t="shared" si="292"/>
        <v>0</v>
      </c>
      <c r="AI350" s="231">
        <f t="shared" si="293"/>
        <v>0</v>
      </c>
      <c r="AJ350" s="231">
        <f t="shared" si="294"/>
        <v>1</v>
      </c>
      <c r="AK350" s="231">
        <f t="shared" si="295"/>
        <v>0</v>
      </c>
      <c r="AL350" s="231">
        <f t="shared" si="296"/>
        <v>1</v>
      </c>
      <c r="AM350" s="231">
        <f t="shared" si="297"/>
        <v>6</v>
      </c>
    </row>
    <row r="351" spans="4:39" x14ac:dyDescent="0.25">
      <c r="D351" s="231">
        <v>193</v>
      </c>
      <c r="E351" s="231" t="s">
        <v>72</v>
      </c>
      <c r="H351" s="231" t="s">
        <v>69</v>
      </c>
      <c r="I351" s="231" t="s">
        <v>76</v>
      </c>
      <c r="J351" s="231" t="s">
        <v>75</v>
      </c>
      <c r="K351" s="231" t="s">
        <v>77</v>
      </c>
      <c r="M351" s="231" t="s">
        <v>515</v>
      </c>
      <c r="O351" s="232" t="s">
        <v>517</v>
      </c>
      <c r="P351" s="231" t="s">
        <v>70</v>
      </c>
      <c r="R351" s="231" t="s">
        <v>564</v>
      </c>
      <c r="S351" s="231" t="s">
        <v>569</v>
      </c>
      <c r="T351" s="231" t="s">
        <v>566</v>
      </c>
      <c r="U351" s="231" t="s">
        <v>572</v>
      </c>
      <c r="V351" s="231" t="s">
        <v>575</v>
      </c>
      <c r="W351" s="231" t="s">
        <v>567</v>
      </c>
      <c r="X351" s="231" t="s">
        <v>570</v>
      </c>
      <c r="Y351" s="231" t="s">
        <v>571</v>
      </c>
      <c r="AA351" s="231">
        <f t="shared" si="285"/>
        <v>0</v>
      </c>
      <c r="AB351" s="231">
        <f t="shared" si="286"/>
        <v>0</v>
      </c>
      <c r="AC351" s="231">
        <f t="shared" si="287"/>
        <v>0</v>
      </c>
      <c r="AD351" s="231">
        <f t="shared" si="288"/>
        <v>1</v>
      </c>
      <c r="AE351" s="231">
        <f t="shared" si="289"/>
        <v>1</v>
      </c>
      <c r="AF351" s="231">
        <f t="shared" si="290"/>
        <v>1</v>
      </c>
      <c r="AG351" s="231">
        <f t="shared" si="291"/>
        <v>1</v>
      </c>
      <c r="AH351" s="231">
        <f t="shared" si="292"/>
        <v>0</v>
      </c>
      <c r="AI351" s="231">
        <f t="shared" si="293"/>
        <v>1</v>
      </c>
      <c r="AJ351" s="231">
        <f t="shared" si="294"/>
        <v>0</v>
      </c>
      <c r="AK351" s="231">
        <f t="shared" si="295"/>
        <v>0</v>
      </c>
      <c r="AL351" s="231">
        <f t="shared" si="296"/>
        <v>1</v>
      </c>
      <c r="AM351" s="231">
        <f t="shared" si="297"/>
        <v>6</v>
      </c>
    </row>
    <row r="352" spans="4:39" x14ac:dyDescent="0.25">
      <c r="D352" s="231">
        <v>194</v>
      </c>
      <c r="E352" s="231" t="s">
        <v>72</v>
      </c>
      <c r="H352" s="231" t="s">
        <v>69</v>
      </c>
      <c r="I352" s="231" t="s">
        <v>76</v>
      </c>
      <c r="J352" s="231" t="s">
        <v>75</v>
      </c>
      <c r="K352" s="231" t="s">
        <v>77</v>
      </c>
      <c r="M352" s="231" t="s">
        <v>515</v>
      </c>
      <c r="N352" s="231" t="s">
        <v>516</v>
      </c>
      <c r="P352" s="231" t="s">
        <v>70</v>
      </c>
      <c r="R352" s="231" t="s">
        <v>564</v>
      </c>
      <c r="S352" s="231" t="s">
        <v>569</v>
      </c>
      <c r="T352" s="231" t="s">
        <v>565</v>
      </c>
      <c r="U352" s="231" t="s">
        <v>572</v>
      </c>
      <c r="V352" s="231" t="s">
        <v>575</v>
      </c>
      <c r="W352" s="231" t="s">
        <v>567</v>
      </c>
      <c r="X352" s="231" t="s">
        <v>570</v>
      </c>
      <c r="Y352" s="231" t="s">
        <v>566</v>
      </c>
      <c r="AA352" s="231">
        <f t="shared" ref="AA352:AA415" si="298">IF(AND(E352&lt;&gt;"",AA$158=1),1,0)</f>
        <v>0</v>
      </c>
      <c r="AB352" s="231">
        <f t="shared" ref="AB352:AB415" si="299">IF(AND(F352&lt;&gt;"",AB$158=1),1,0)</f>
        <v>0</v>
      </c>
      <c r="AC352" s="231">
        <f t="shared" ref="AC352:AC415" si="300">IF(AND(G352&lt;&gt;"",AC$158=1),1,0)</f>
        <v>0</v>
      </c>
      <c r="AD352" s="231">
        <f t="shared" ref="AD352:AD415" si="301">IF(AND(H352&lt;&gt;"",AD$158=1),1,0)</f>
        <v>1</v>
      </c>
      <c r="AE352" s="231">
        <f t="shared" ref="AE352:AE415" si="302">IF(AND(I352&lt;&gt;"",AE$158=1),1,0)</f>
        <v>1</v>
      </c>
      <c r="AF352" s="231">
        <f t="shared" ref="AF352:AF415" si="303">IF(AND(J352&lt;&gt;"",AF$158=1),1,0)</f>
        <v>1</v>
      </c>
      <c r="AG352" s="231">
        <f t="shared" ref="AG352:AG415" si="304">IF(AND(K352&lt;&gt;"",AG$158=1),1,0)</f>
        <v>1</v>
      </c>
      <c r="AH352" s="231">
        <f t="shared" ref="AH352:AH415" si="305">IF(AND(L352&lt;&gt;"",AH$158=1),1,0)</f>
        <v>0</v>
      </c>
      <c r="AI352" s="231">
        <f t="shared" ref="AI352:AI415" si="306">IF(AND(M352&lt;&gt;"",AI$158=1),1,0)</f>
        <v>1</v>
      </c>
      <c r="AJ352" s="231">
        <f t="shared" ref="AJ352:AJ415" si="307">IF(AND(N352&lt;&gt;"",AJ$158=1),1,0)</f>
        <v>1</v>
      </c>
      <c r="AK352" s="231">
        <f t="shared" ref="AK352:AK415" si="308">IF(AND(O352&lt;&gt;"",AK$158=1),1,0)</f>
        <v>0</v>
      </c>
      <c r="AL352" s="231">
        <f t="shared" ref="AL352:AL415" si="309">IF(AND(P352&lt;&gt;"",AL$158=1),1,0)</f>
        <v>1</v>
      </c>
      <c r="AM352" s="231">
        <f t="shared" ref="AM352:AM415" si="310">SUM(AA352:AL352)</f>
        <v>7</v>
      </c>
    </row>
    <row r="353" spans="4:39" x14ac:dyDescent="0.25">
      <c r="D353" s="231">
        <v>195</v>
      </c>
      <c r="E353" s="231" t="s">
        <v>72</v>
      </c>
      <c r="H353" s="231" t="s">
        <v>69</v>
      </c>
      <c r="I353" s="231" t="s">
        <v>76</v>
      </c>
      <c r="J353" s="231" t="s">
        <v>75</v>
      </c>
      <c r="K353" s="231" t="s">
        <v>77</v>
      </c>
      <c r="M353" s="231" t="s">
        <v>515</v>
      </c>
      <c r="N353" s="231" t="s">
        <v>516</v>
      </c>
      <c r="O353" s="232" t="s">
        <v>517</v>
      </c>
      <c r="R353" s="231" t="s">
        <v>564</v>
      </c>
      <c r="S353" s="231" t="s">
        <v>569</v>
      </c>
      <c r="T353" s="231" t="s">
        <v>565</v>
      </c>
      <c r="U353" s="231" t="s">
        <v>572</v>
      </c>
      <c r="V353" s="231" t="s">
        <v>575</v>
      </c>
      <c r="W353" s="231" t="s">
        <v>567</v>
      </c>
      <c r="X353" s="231" t="s">
        <v>566</v>
      </c>
      <c r="Y353" s="231" t="s">
        <v>571</v>
      </c>
      <c r="AA353" s="231">
        <f t="shared" si="298"/>
        <v>0</v>
      </c>
      <c r="AB353" s="231">
        <f t="shared" si="299"/>
        <v>0</v>
      </c>
      <c r="AC353" s="231">
        <f t="shared" si="300"/>
        <v>0</v>
      </c>
      <c r="AD353" s="231">
        <f t="shared" si="301"/>
        <v>1</v>
      </c>
      <c r="AE353" s="231">
        <f t="shared" si="302"/>
        <v>1</v>
      </c>
      <c r="AF353" s="231">
        <f t="shared" si="303"/>
        <v>1</v>
      </c>
      <c r="AG353" s="231">
        <f t="shared" si="304"/>
        <v>1</v>
      </c>
      <c r="AH353" s="231">
        <f t="shared" si="305"/>
        <v>0</v>
      </c>
      <c r="AI353" s="231">
        <f t="shared" si="306"/>
        <v>1</v>
      </c>
      <c r="AJ353" s="231">
        <f t="shared" si="307"/>
        <v>1</v>
      </c>
      <c r="AK353" s="231">
        <f t="shared" si="308"/>
        <v>0</v>
      </c>
      <c r="AL353" s="231">
        <f t="shared" si="309"/>
        <v>0</v>
      </c>
      <c r="AM353" s="231">
        <f t="shared" si="310"/>
        <v>6</v>
      </c>
    </row>
    <row r="354" spans="4:39" x14ac:dyDescent="0.25">
      <c r="D354" s="231">
        <v>196</v>
      </c>
      <c r="E354" s="231" t="s">
        <v>72</v>
      </c>
      <c r="H354" s="231" t="s">
        <v>69</v>
      </c>
      <c r="I354" s="231" t="s">
        <v>76</v>
      </c>
      <c r="J354" s="231" t="s">
        <v>75</v>
      </c>
      <c r="K354" s="231" t="s">
        <v>77</v>
      </c>
      <c r="L354" s="231" t="s">
        <v>78</v>
      </c>
      <c r="O354" s="232" t="s">
        <v>517</v>
      </c>
      <c r="P354" s="231" t="s">
        <v>70</v>
      </c>
      <c r="R354" s="231" t="s">
        <v>568</v>
      </c>
      <c r="S354" s="231" t="s">
        <v>569</v>
      </c>
      <c r="T354" s="231" t="s">
        <v>564</v>
      </c>
      <c r="U354" s="231" t="s">
        <v>572</v>
      </c>
      <c r="V354" s="231" t="s">
        <v>575</v>
      </c>
      <c r="W354" s="231" t="s">
        <v>567</v>
      </c>
      <c r="X354" s="231" t="s">
        <v>570</v>
      </c>
      <c r="Y354" s="231" t="s">
        <v>571</v>
      </c>
      <c r="AA354" s="231">
        <f t="shared" si="298"/>
        <v>0</v>
      </c>
      <c r="AB354" s="231">
        <f t="shared" si="299"/>
        <v>0</v>
      </c>
      <c r="AC354" s="231">
        <f t="shared" si="300"/>
        <v>0</v>
      </c>
      <c r="AD354" s="231">
        <f t="shared" si="301"/>
        <v>1</v>
      </c>
      <c r="AE354" s="231">
        <f t="shared" si="302"/>
        <v>1</v>
      </c>
      <c r="AF354" s="231">
        <f t="shared" si="303"/>
        <v>1</v>
      </c>
      <c r="AG354" s="231">
        <f t="shared" si="304"/>
        <v>1</v>
      </c>
      <c r="AH354" s="231">
        <f t="shared" si="305"/>
        <v>0</v>
      </c>
      <c r="AI354" s="231">
        <f t="shared" si="306"/>
        <v>0</v>
      </c>
      <c r="AJ354" s="231">
        <f t="shared" si="307"/>
        <v>0</v>
      </c>
      <c r="AK354" s="231">
        <f t="shared" si="308"/>
        <v>0</v>
      </c>
      <c r="AL354" s="231">
        <f t="shared" si="309"/>
        <v>1</v>
      </c>
      <c r="AM354" s="231">
        <f t="shared" si="310"/>
        <v>5</v>
      </c>
    </row>
    <row r="355" spans="4:39" x14ac:dyDescent="0.25">
      <c r="D355" s="231">
        <v>197</v>
      </c>
      <c r="E355" s="231" t="s">
        <v>72</v>
      </c>
      <c r="H355" s="231" t="s">
        <v>69</v>
      </c>
      <c r="I355" s="231" t="s">
        <v>76</v>
      </c>
      <c r="J355" s="231" t="s">
        <v>75</v>
      </c>
      <c r="K355" s="231" t="s">
        <v>77</v>
      </c>
      <c r="L355" s="231" t="s">
        <v>78</v>
      </c>
      <c r="N355" s="231" t="s">
        <v>516</v>
      </c>
      <c r="P355" s="231" t="s">
        <v>70</v>
      </c>
      <c r="R355" s="231" t="s">
        <v>568</v>
      </c>
      <c r="S355" s="231" t="s">
        <v>569</v>
      </c>
      <c r="T355" s="231" t="s">
        <v>565</v>
      </c>
      <c r="U355" s="231" t="s">
        <v>572</v>
      </c>
      <c r="V355" s="231" t="s">
        <v>575</v>
      </c>
      <c r="W355" s="231" t="s">
        <v>567</v>
      </c>
      <c r="X355" s="231" t="s">
        <v>570</v>
      </c>
      <c r="Y355" s="231" t="s">
        <v>564</v>
      </c>
      <c r="AA355" s="231">
        <f t="shared" si="298"/>
        <v>0</v>
      </c>
      <c r="AB355" s="231">
        <f t="shared" si="299"/>
        <v>0</v>
      </c>
      <c r="AC355" s="231">
        <f t="shared" si="300"/>
        <v>0</v>
      </c>
      <c r="AD355" s="231">
        <f t="shared" si="301"/>
        <v>1</v>
      </c>
      <c r="AE355" s="231">
        <f t="shared" si="302"/>
        <v>1</v>
      </c>
      <c r="AF355" s="231">
        <f t="shared" si="303"/>
        <v>1</v>
      </c>
      <c r="AG355" s="231">
        <f t="shared" si="304"/>
        <v>1</v>
      </c>
      <c r="AH355" s="231">
        <f t="shared" si="305"/>
        <v>0</v>
      </c>
      <c r="AI355" s="231">
        <f t="shared" si="306"/>
        <v>0</v>
      </c>
      <c r="AJ355" s="231">
        <f t="shared" si="307"/>
        <v>1</v>
      </c>
      <c r="AK355" s="231">
        <f t="shared" si="308"/>
        <v>0</v>
      </c>
      <c r="AL355" s="231">
        <f t="shared" si="309"/>
        <v>1</v>
      </c>
      <c r="AM355" s="231">
        <f t="shared" si="310"/>
        <v>6</v>
      </c>
    </row>
    <row r="356" spans="4:39" x14ac:dyDescent="0.25">
      <c r="D356" s="231">
        <v>198</v>
      </c>
      <c r="E356" s="231" t="s">
        <v>72</v>
      </c>
      <c r="H356" s="231" t="s">
        <v>69</v>
      </c>
      <c r="I356" s="231" t="s">
        <v>76</v>
      </c>
      <c r="J356" s="231" t="s">
        <v>75</v>
      </c>
      <c r="K356" s="231" t="s">
        <v>77</v>
      </c>
      <c r="L356" s="231" t="s">
        <v>78</v>
      </c>
      <c r="N356" s="231" t="s">
        <v>516</v>
      </c>
      <c r="O356" s="232" t="s">
        <v>517</v>
      </c>
      <c r="R356" s="231" t="s">
        <v>568</v>
      </c>
      <c r="S356" s="231" t="s">
        <v>569</v>
      </c>
      <c r="T356" s="231" t="s">
        <v>565</v>
      </c>
      <c r="U356" s="231" t="s">
        <v>572</v>
      </c>
      <c r="V356" s="231" t="s">
        <v>575</v>
      </c>
      <c r="W356" s="231" t="s">
        <v>567</v>
      </c>
      <c r="X356" s="231" t="s">
        <v>564</v>
      </c>
      <c r="Y356" s="231" t="s">
        <v>571</v>
      </c>
      <c r="AA356" s="231">
        <f t="shared" si="298"/>
        <v>0</v>
      </c>
      <c r="AB356" s="231">
        <f t="shared" si="299"/>
        <v>0</v>
      </c>
      <c r="AC356" s="231">
        <f t="shared" si="300"/>
        <v>0</v>
      </c>
      <c r="AD356" s="231">
        <f t="shared" si="301"/>
        <v>1</v>
      </c>
      <c r="AE356" s="231">
        <f t="shared" si="302"/>
        <v>1</v>
      </c>
      <c r="AF356" s="231">
        <f t="shared" si="303"/>
        <v>1</v>
      </c>
      <c r="AG356" s="231">
        <f t="shared" si="304"/>
        <v>1</v>
      </c>
      <c r="AH356" s="231">
        <f t="shared" si="305"/>
        <v>0</v>
      </c>
      <c r="AI356" s="231">
        <f t="shared" si="306"/>
        <v>0</v>
      </c>
      <c r="AJ356" s="231">
        <f t="shared" si="307"/>
        <v>1</v>
      </c>
      <c r="AK356" s="231">
        <f t="shared" si="308"/>
        <v>0</v>
      </c>
      <c r="AL356" s="231">
        <f t="shared" si="309"/>
        <v>0</v>
      </c>
      <c r="AM356" s="231">
        <f t="shared" si="310"/>
        <v>5</v>
      </c>
    </row>
    <row r="357" spans="4:39" x14ac:dyDescent="0.25">
      <c r="D357" s="231">
        <v>199</v>
      </c>
      <c r="E357" s="231" t="s">
        <v>72</v>
      </c>
      <c r="H357" s="231" t="s">
        <v>69</v>
      </c>
      <c r="I357" s="231" t="s">
        <v>76</v>
      </c>
      <c r="J357" s="231" t="s">
        <v>75</v>
      </c>
      <c r="K357" s="231" t="s">
        <v>77</v>
      </c>
      <c r="L357" s="231" t="s">
        <v>78</v>
      </c>
      <c r="M357" s="231" t="s">
        <v>515</v>
      </c>
      <c r="P357" s="231" t="s">
        <v>70</v>
      </c>
      <c r="R357" s="231" t="s">
        <v>568</v>
      </c>
      <c r="S357" s="231" t="s">
        <v>569</v>
      </c>
      <c r="T357" s="231" t="s">
        <v>564</v>
      </c>
      <c r="U357" s="231" t="s">
        <v>572</v>
      </c>
      <c r="V357" s="231" t="s">
        <v>575</v>
      </c>
      <c r="W357" s="231" t="s">
        <v>567</v>
      </c>
      <c r="X357" s="231" t="s">
        <v>570</v>
      </c>
      <c r="Y357" s="231" t="s">
        <v>566</v>
      </c>
      <c r="AA357" s="231">
        <f t="shared" si="298"/>
        <v>0</v>
      </c>
      <c r="AB357" s="231">
        <f t="shared" si="299"/>
        <v>0</v>
      </c>
      <c r="AC357" s="231">
        <f t="shared" si="300"/>
        <v>0</v>
      </c>
      <c r="AD357" s="231">
        <f t="shared" si="301"/>
        <v>1</v>
      </c>
      <c r="AE357" s="231">
        <f t="shared" si="302"/>
        <v>1</v>
      </c>
      <c r="AF357" s="231">
        <f t="shared" si="303"/>
        <v>1</v>
      </c>
      <c r="AG357" s="231">
        <f t="shared" si="304"/>
        <v>1</v>
      </c>
      <c r="AH357" s="231">
        <f t="shared" si="305"/>
        <v>0</v>
      </c>
      <c r="AI357" s="231">
        <f t="shared" si="306"/>
        <v>1</v>
      </c>
      <c r="AJ357" s="231">
        <f t="shared" si="307"/>
        <v>0</v>
      </c>
      <c r="AK357" s="231">
        <f t="shared" si="308"/>
        <v>0</v>
      </c>
      <c r="AL357" s="231">
        <f t="shared" si="309"/>
        <v>1</v>
      </c>
      <c r="AM357" s="231">
        <f t="shared" si="310"/>
        <v>6</v>
      </c>
    </row>
    <row r="358" spans="4:39" x14ac:dyDescent="0.25">
      <c r="D358" s="231">
        <v>200</v>
      </c>
      <c r="E358" s="231" t="s">
        <v>72</v>
      </c>
      <c r="H358" s="231" t="s">
        <v>69</v>
      </c>
      <c r="I358" s="231" t="s">
        <v>76</v>
      </c>
      <c r="J358" s="231" t="s">
        <v>75</v>
      </c>
      <c r="K358" s="231" t="s">
        <v>77</v>
      </c>
      <c r="L358" s="231" t="s">
        <v>78</v>
      </c>
      <c r="M358" s="231" t="s">
        <v>515</v>
      </c>
      <c r="O358" s="232" t="s">
        <v>517</v>
      </c>
      <c r="R358" s="231" t="s">
        <v>568</v>
      </c>
      <c r="S358" s="231" t="s">
        <v>569</v>
      </c>
      <c r="T358" s="231" t="s">
        <v>564</v>
      </c>
      <c r="U358" s="231" t="s">
        <v>572</v>
      </c>
      <c r="V358" s="231" t="s">
        <v>575</v>
      </c>
      <c r="W358" s="231" t="s">
        <v>567</v>
      </c>
      <c r="X358" s="231" t="s">
        <v>566</v>
      </c>
      <c r="Y358" s="231" t="s">
        <v>571</v>
      </c>
      <c r="AA358" s="231">
        <f t="shared" si="298"/>
        <v>0</v>
      </c>
      <c r="AB358" s="231">
        <f t="shared" si="299"/>
        <v>0</v>
      </c>
      <c r="AC358" s="231">
        <f t="shared" si="300"/>
        <v>0</v>
      </c>
      <c r="AD358" s="231">
        <f t="shared" si="301"/>
        <v>1</v>
      </c>
      <c r="AE358" s="231">
        <f t="shared" si="302"/>
        <v>1</v>
      </c>
      <c r="AF358" s="231">
        <f t="shared" si="303"/>
        <v>1</v>
      </c>
      <c r="AG358" s="231">
        <f t="shared" si="304"/>
        <v>1</v>
      </c>
      <c r="AH358" s="231">
        <f t="shared" si="305"/>
        <v>0</v>
      </c>
      <c r="AI358" s="231">
        <f t="shared" si="306"/>
        <v>1</v>
      </c>
      <c r="AJ358" s="231">
        <f t="shared" si="307"/>
        <v>0</v>
      </c>
      <c r="AK358" s="231">
        <f t="shared" si="308"/>
        <v>0</v>
      </c>
      <c r="AL358" s="231">
        <f t="shared" si="309"/>
        <v>0</v>
      </c>
      <c r="AM358" s="231">
        <f t="shared" si="310"/>
        <v>5</v>
      </c>
    </row>
    <row r="359" spans="4:39" x14ac:dyDescent="0.25">
      <c r="D359" s="231">
        <v>201</v>
      </c>
      <c r="E359" s="231" t="s">
        <v>72</v>
      </c>
      <c r="H359" s="231" t="s">
        <v>69</v>
      </c>
      <c r="I359" s="231" t="s">
        <v>76</v>
      </c>
      <c r="J359" s="231" t="s">
        <v>75</v>
      </c>
      <c r="K359" s="231" t="s">
        <v>77</v>
      </c>
      <c r="L359" s="231" t="s">
        <v>78</v>
      </c>
      <c r="M359" s="231" t="s">
        <v>515</v>
      </c>
      <c r="N359" s="231" t="s">
        <v>516</v>
      </c>
      <c r="R359" s="231" t="s">
        <v>568</v>
      </c>
      <c r="S359" s="231" t="s">
        <v>569</v>
      </c>
      <c r="T359" s="231" t="s">
        <v>565</v>
      </c>
      <c r="U359" s="231" t="s">
        <v>572</v>
      </c>
      <c r="V359" s="231" t="s">
        <v>575</v>
      </c>
      <c r="W359" s="231" t="s">
        <v>567</v>
      </c>
      <c r="X359" s="231" t="s">
        <v>564</v>
      </c>
      <c r="Y359" s="231" t="s">
        <v>566</v>
      </c>
      <c r="AA359" s="231">
        <f t="shared" si="298"/>
        <v>0</v>
      </c>
      <c r="AB359" s="231">
        <f t="shared" si="299"/>
        <v>0</v>
      </c>
      <c r="AC359" s="231">
        <f t="shared" si="300"/>
        <v>0</v>
      </c>
      <c r="AD359" s="231">
        <f t="shared" si="301"/>
        <v>1</v>
      </c>
      <c r="AE359" s="231">
        <f t="shared" si="302"/>
        <v>1</v>
      </c>
      <c r="AF359" s="231">
        <f t="shared" si="303"/>
        <v>1</v>
      </c>
      <c r="AG359" s="231">
        <f t="shared" si="304"/>
        <v>1</v>
      </c>
      <c r="AH359" s="231">
        <f t="shared" si="305"/>
        <v>0</v>
      </c>
      <c r="AI359" s="231">
        <f t="shared" si="306"/>
        <v>1</v>
      </c>
      <c r="AJ359" s="231">
        <f t="shared" si="307"/>
        <v>1</v>
      </c>
      <c r="AK359" s="231">
        <f t="shared" si="308"/>
        <v>0</v>
      </c>
      <c r="AL359" s="231">
        <f t="shared" si="309"/>
        <v>0</v>
      </c>
      <c r="AM359" s="231">
        <f t="shared" si="310"/>
        <v>6</v>
      </c>
    </row>
    <row r="360" spans="4:39" x14ac:dyDescent="0.25">
      <c r="D360" s="231">
        <v>202</v>
      </c>
      <c r="E360" s="231" t="s">
        <v>72</v>
      </c>
      <c r="G360" s="231" t="s">
        <v>74</v>
      </c>
      <c r="K360" s="231" t="s">
        <v>77</v>
      </c>
      <c r="L360" s="231" t="s">
        <v>78</v>
      </c>
      <c r="M360" s="231" t="s">
        <v>515</v>
      </c>
      <c r="N360" s="231" t="s">
        <v>516</v>
      </c>
      <c r="O360" s="232" t="s">
        <v>517</v>
      </c>
      <c r="P360" s="231" t="s">
        <v>70</v>
      </c>
      <c r="R360" s="231" t="s">
        <v>568</v>
      </c>
      <c r="S360" s="231" t="s">
        <v>565</v>
      </c>
      <c r="T360" s="231" t="s">
        <v>566</v>
      </c>
      <c r="U360" s="231" t="s">
        <v>573</v>
      </c>
      <c r="V360" s="231" t="s">
        <v>575</v>
      </c>
      <c r="W360" s="231" t="s">
        <v>569</v>
      </c>
      <c r="X360" s="231" t="s">
        <v>570</v>
      </c>
      <c r="Y360" s="231" t="s">
        <v>571</v>
      </c>
      <c r="AA360" s="231">
        <f t="shared" si="298"/>
        <v>0</v>
      </c>
      <c r="AB360" s="231">
        <f t="shared" si="299"/>
        <v>0</v>
      </c>
      <c r="AC360" s="231">
        <f t="shared" si="300"/>
        <v>1</v>
      </c>
      <c r="AD360" s="231">
        <f t="shared" si="301"/>
        <v>0</v>
      </c>
      <c r="AE360" s="231">
        <f t="shared" si="302"/>
        <v>0</v>
      </c>
      <c r="AF360" s="231">
        <f t="shared" si="303"/>
        <v>0</v>
      </c>
      <c r="AG360" s="231">
        <f t="shared" si="304"/>
        <v>1</v>
      </c>
      <c r="AH360" s="231">
        <f t="shared" si="305"/>
        <v>0</v>
      </c>
      <c r="AI360" s="231">
        <f t="shared" si="306"/>
        <v>1</v>
      </c>
      <c r="AJ360" s="231">
        <f t="shared" si="307"/>
        <v>1</v>
      </c>
      <c r="AK360" s="231">
        <f t="shared" si="308"/>
        <v>0</v>
      </c>
      <c r="AL360" s="231">
        <f t="shared" si="309"/>
        <v>1</v>
      </c>
      <c r="AM360" s="231">
        <f t="shared" si="310"/>
        <v>5</v>
      </c>
    </row>
    <row r="361" spans="4:39" x14ac:dyDescent="0.25">
      <c r="D361" s="231">
        <v>203</v>
      </c>
      <c r="E361" s="231" t="s">
        <v>72</v>
      </c>
      <c r="G361" s="231" t="s">
        <v>74</v>
      </c>
      <c r="J361" s="231" t="s">
        <v>75</v>
      </c>
      <c r="L361" s="231" t="s">
        <v>78</v>
      </c>
      <c r="M361" s="231" t="s">
        <v>515</v>
      </c>
      <c r="N361" s="231" t="s">
        <v>516</v>
      </c>
      <c r="O361" s="232" t="s">
        <v>517</v>
      </c>
      <c r="P361" s="231" t="s">
        <v>70</v>
      </c>
      <c r="R361" s="231" t="s">
        <v>568</v>
      </c>
      <c r="S361" s="231" t="s">
        <v>565</v>
      </c>
      <c r="T361" s="231" t="s">
        <v>566</v>
      </c>
      <c r="U361" s="231" t="s">
        <v>573</v>
      </c>
      <c r="V361" s="231" t="s">
        <v>575</v>
      </c>
      <c r="W361" s="231" t="s">
        <v>567</v>
      </c>
      <c r="X361" s="231" t="s">
        <v>570</v>
      </c>
      <c r="Y361" s="231" t="s">
        <v>571</v>
      </c>
      <c r="AA361" s="231">
        <f t="shared" si="298"/>
        <v>0</v>
      </c>
      <c r="AB361" s="231">
        <f t="shared" si="299"/>
        <v>0</v>
      </c>
      <c r="AC361" s="231">
        <f t="shared" si="300"/>
        <v>1</v>
      </c>
      <c r="AD361" s="231">
        <f t="shared" si="301"/>
        <v>0</v>
      </c>
      <c r="AE361" s="231">
        <f t="shared" si="302"/>
        <v>0</v>
      </c>
      <c r="AF361" s="231">
        <f t="shared" si="303"/>
        <v>1</v>
      </c>
      <c r="AG361" s="231">
        <f t="shared" si="304"/>
        <v>0</v>
      </c>
      <c r="AH361" s="231">
        <f t="shared" si="305"/>
        <v>0</v>
      </c>
      <c r="AI361" s="231">
        <f t="shared" si="306"/>
        <v>1</v>
      </c>
      <c r="AJ361" s="231">
        <f t="shared" si="307"/>
        <v>1</v>
      </c>
      <c r="AK361" s="231">
        <f t="shared" si="308"/>
        <v>0</v>
      </c>
      <c r="AL361" s="231">
        <f t="shared" si="309"/>
        <v>1</v>
      </c>
      <c r="AM361" s="231">
        <f t="shared" si="310"/>
        <v>5</v>
      </c>
    </row>
    <row r="362" spans="4:39" x14ac:dyDescent="0.25">
      <c r="D362" s="231">
        <v>204</v>
      </c>
      <c r="E362" s="231" t="s">
        <v>72</v>
      </c>
      <c r="G362" s="231" t="s">
        <v>74</v>
      </c>
      <c r="J362" s="231" t="s">
        <v>75</v>
      </c>
      <c r="K362" s="231" t="s">
        <v>77</v>
      </c>
      <c r="M362" s="231" t="s">
        <v>515</v>
      </c>
      <c r="N362" s="231" t="s">
        <v>516</v>
      </c>
      <c r="O362" s="232" t="s">
        <v>517</v>
      </c>
      <c r="P362" s="231" t="s">
        <v>70</v>
      </c>
      <c r="R362" s="231" t="s">
        <v>566</v>
      </c>
      <c r="S362" s="231" t="s">
        <v>569</v>
      </c>
      <c r="T362" s="231" t="s">
        <v>565</v>
      </c>
      <c r="U362" s="231" t="s">
        <v>573</v>
      </c>
      <c r="V362" s="231" t="s">
        <v>575</v>
      </c>
      <c r="W362" s="231" t="s">
        <v>567</v>
      </c>
      <c r="X362" s="231" t="s">
        <v>570</v>
      </c>
      <c r="Y362" s="231" t="s">
        <v>571</v>
      </c>
      <c r="AA362" s="231">
        <f t="shared" si="298"/>
        <v>0</v>
      </c>
      <c r="AB362" s="231">
        <f t="shared" si="299"/>
        <v>0</v>
      </c>
      <c r="AC362" s="231">
        <f t="shared" si="300"/>
        <v>1</v>
      </c>
      <c r="AD362" s="231">
        <f t="shared" si="301"/>
        <v>0</v>
      </c>
      <c r="AE362" s="231">
        <f t="shared" si="302"/>
        <v>0</v>
      </c>
      <c r="AF362" s="231">
        <f t="shared" si="303"/>
        <v>1</v>
      </c>
      <c r="AG362" s="231">
        <f t="shared" si="304"/>
        <v>1</v>
      </c>
      <c r="AH362" s="231">
        <f t="shared" si="305"/>
        <v>0</v>
      </c>
      <c r="AI362" s="231">
        <f t="shared" si="306"/>
        <v>1</v>
      </c>
      <c r="AJ362" s="231">
        <f t="shared" si="307"/>
        <v>1</v>
      </c>
      <c r="AK362" s="231">
        <f t="shared" si="308"/>
        <v>0</v>
      </c>
      <c r="AL362" s="231">
        <f t="shared" si="309"/>
        <v>1</v>
      </c>
      <c r="AM362" s="231">
        <f t="shared" si="310"/>
        <v>6</v>
      </c>
    </row>
    <row r="363" spans="4:39" x14ac:dyDescent="0.25">
      <c r="D363" s="231">
        <v>205</v>
      </c>
      <c r="E363" s="231" t="s">
        <v>72</v>
      </c>
      <c r="G363" s="231" t="s">
        <v>74</v>
      </c>
      <c r="J363" s="231" t="s">
        <v>75</v>
      </c>
      <c r="K363" s="231" t="s">
        <v>77</v>
      </c>
      <c r="L363" s="231" t="s">
        <v>78</v>
      </c>
      <c r="N363" s="231" t="s">
        <v>516</v>
      </c>
      <c r="O363" s="232" t="s">
        <v>517</v>
      </c>
      <c r="P363" s="231" t="s">
        <v>70</v>
      </c>
      <c r="R363" s="231" t="s">
        <v>568</v>
      </c>
      <c r="S363" s="231" t="s">
        <v>569</v>
      </c>
      <c r="T363" s="231" t="s">
        <v>565</v>
      </c>
      <c r="U363" s="231" t="s">
        <v>573</v>
      </c>
      <c r="V363" s="231" t="s">
        <v>575</v>
      </c>
      <c r="W363" s="231" t="s">
        <v>567</v>
      </c>
      <c r="X363" s="231" t="s">
        <v>570</v>
      </c>
      <c r="Y363" s="231" t="s">
        <v>571</v>
      </c>
      <c r="AA363" s="231">
        <f t="shared" si="298"/>
        <v>0</v>
      </c>
      <c r="AB363" s="231">
        <f t="shared" si="299"/>
        <v>0</v>
      </c>
      <c r="AC363" s="231">
        <f t="shared" si="300"/>
        <v>1</v>
      </c>
      <c r="AD363" s="231">
        <f t="shared" si="301"/>
        <v>0</v>
      </c>
      <c r="AE363" s="231">
        <f t="shared" si="302"/>
        <v>0</v>
      </c>
      <c r="AF363" s="231">
        <f t="shared" si="303"/>
        <v>1</v>
      </c>
      <c r="AG363" s="231">
        <f t="shared" si="304"/>
        <v>1</v>
      </c>
      <c r="AH363" s="231">
        <f t="shared" si="305"/>
        <v>0</v>
      </c>
      <c r="AI363" s="231">
        <f t="shared" si="306"/>
        <v>0</v>
      </c>
      <c r="AJ363" s="231">
        <f t="shared" si="307"/>
        <v>1</v>
      </c>
      <c r="AK363" s="231">
        <f t="shared" si="308"/>
        <v>0</v>
      </c>
      <c r="AL363" s="231">
        <f t="shared" si="309"/>
        <v>1</v>
      </c>
      <c r="AM363" s="231">
        <f t="shared" si="310"/>
        <v>5</v>
      </c>
    </row>
    <row r="364" spans="4:39" x14ac:dyDescent="0.25">
      <c r="D364" s="231">
        <v>206</v>
      </c>
      <c r="E364" s="231" t="s">
        <v>72</v>
      </c>
      <c r="G364" s="231" t="s">
        <v>74</v>
      </c>
      <c r="J364" s="231" t="s">
        <v>75</v>
      </c>
      <c r="K364" s="231" t="s">
        <v>77</v>
      </c>
      <c r="L364" s="231" t="s">
        <v>78</v>
      </c>
      <c r="M364" s="231" t="s">
        <v>515</v>
      </c>
      <c r="O364" s="232" t="s">
        <v>517</v>
      </c>
      <c r="P364" s="231" t="s">
        <v>70</v>
      </c>
      <c r="R364" s="231" t="s">
        <v>568</v>
      </c>
      <c r="S364" s="231" t="s">
        <v>569</v>
      </c>
      <c r="T364" s="231" t="s">
        <v>566</v>
      </c>
      <c r="U364" s="231" t="s">
        <v>573</v>
      </c>
      <c r="V364" s="231" t="s">
        <v>575</v>
      </c>
      <c r="W364" s="231" t="s">
        <v>567</v>
      </c>
      <c r="X364" s="231" t="s">
        <v>570</v>
      </c>
      <c r="Y364" s="231" t="s">
        <v>571</v>
      </c>
      <c r="AA364" s="231">
        <f t="shared" si="298"/>
        <v>0</v>
      </c>
      <c r="AB364" s="231">
        <f t="shared" si="299"/>
        <v>0</v>
      </c>
      <c r="AC364" s="231">
        <f t="shared" si="300"/>
        <v>1</v>
      </c>
      <c r="AD364" s="231">
        <f t="shared" si="301"/>
        <v>0</v>
      </c>
      <c r="AE364" s="231">
        <f t="shared" si="302"/>
        <v>0</v>
      </c>
      <c r="AF364" s="231">
        <f t="shared" si="303"/>
        <v>1</v>
      </c>
      <c r="AG364" s="231">
        <f t="shared" si="304"/>
        <v>1</v>
      </c>
      <c r="AH364" s="231">
        <f t="shared" si="305"/>
        <v>0</v>
      </c>
      <c r="AI364" s="231">
        <f t="shared" si="306"/>
        <v>1</v>
      </c>
      <c r="AJ364" s="231">
        <f t="shared" si="307"/>
        <v>0</v>
      </c>
      <c r="AK364" s="231">
        <f t="shared" si="308"/>
        <v>0</v>
      </c>
      <c r="AL364" s="231">
        <f t="shared" si="309"/>
        <v>1</v>
      </c>
      <c r="AM364" s="231">
        <f t="shared" si="310"/>
        <v>5</v>
      </c>
    </row>
    <row r="365" spans="4:39" x14ac:dyDescent="0.25">
      <c r="D365" s="231">
        <v>207</v>
      </c>
      <c r="E365" s="231" t="s">
        <v>72</v>
      </c>
      <c r="G365" s="231" t="s">
        <v>74</v>
      </c>
      <c r="J365" s="231" t="s">
        <v>75</v>
      </c>
      <c r="K365" s="231" t="s">
        <v>77</v>
      </c>
      <c r="L365" s="231" t="s">
        <v>78</v>
      </c>
      <c r="M365" s="231" t="s">
        <v>515</v>
      </c>
      <c r="N365" s="231" t="s">
        <v>516</v>
      </c>
      <c r="P365" s="231" t="s">
        <v>70</v>
      </c>
      <c r="R365" s="231" t="s">
        <v>568</v>
      </c>
      <c r="S365" s="231" t="s">
        <v>569</v>
      </c>
      <c r="T365" s="231" t="s">
        <v>565</v>
      </c>
      <c r="U365" s="231" t="s">
        <v>573</v>
      </c>
      <c r="V365" s="231" t="s">
        <v>575</v>
      </c>
      <c r="W365" s="231" t="s">
        <v>567</v>
      </c>
      <c r="X365" s="231" t="s">
        <v>570</v>
      </c>
      <c r="Y365" s="231" t="s">
        <v>566</v>
      </c>
      <c r="AA365" s="231">
        <f t="shared" si="298"/>
        <v>0</v>
      </c>
      <c r="AB365" s="231">
        <f t="shared" si="299"/>
        <v>0</v>
      </c>
      <c r="AC365" s="231">
        <f t="shared" si="300"/>
        <v>1</v>
      </c>
      <c r="AD365" s="231">
        <f t="shared" si="301"/>
        <v>0</v>
      </c>
      <c r="AE365" s="231">
        <f t="shared" si="302"/>
        <v>0</v>
      </c>
      <c r="AF365" s="231">
        <f t="shared" si="303"/>
        <v>1</v>
      </c>
      <c r="AG365" s="231">
        <f t="shared" si="304"/>
        <v>1</v>
      </c>
      <c r="AH365" s="231">
        <f t="shared" si="305"/>
        <v>0</v>
      </c>
      <c r="AI365" s="231">
        <f t="shared" si="306"/>
        <v>1</v>
      </c>
      <c r="AJ365" s="231">
        <f t="shared" si="307"/>
        <v>1</v>
      </c>
      <c r="AK365" s="231">
        <f t="shared" si="308"/>
        <v>0</v>
      </c>
      <c r="AL365" s="231">
        <f t="shared" si="309"/>
        <v>1</v>
      </c>
      <c r="AM365" s="231">
        <f t="shared" si="310"/>
        <v>6</v>
      </c>
    </row>
    <row r="366" spans="4:39" x14ac:dyDescent="0.25">
      <c r="D366" s="231">
        <v>208</v>
      </c>
      <c r="E366" s="231" t="s">
        <v>72</v>
      </c>
      <c r="G366" s="231" t="s">
        <v>74</v>
      </c>
      <c r="J366" s="231" t="s">
        <v>75</v>
      </c>
      <c r="K366" s="231" t="s">
        <v>77</v>
      </c>
      <c r="L366" s="231" t="s">
        <v>78</v>
      </c>
      <c r="M366" s="231" t="s">
        <v>515</v>
      </c>
      <c r="N366" s="231" t="s">
        <v>516</v>
      </c>
      <c r="O366" s="232" t="s">
        <v>517</v>
      </c>
      <c r="R366" s="231" t="s">
        <v>568</v>
      </c>
      <c r="S366" s="231" t="s">
        <v>569</v>
      </c>
      <c r="T366" s="231" t="s">
        <v>565</v>
      </c>
      <c r="U366" s="231" t="s">
        <v>573</v>
      </c>
      <c r="V366" s="231" t="s">
        <v>575</v>
      </c>
      <c r="W366" s="231" t="s">
        <v>567</v>
      </c>
      <c r="X366" s="231" t="s">
        <v>566</v>
      </c>
      <c r="Y366" s="231" t="s">
        <v>571</v>
      </c>
      <c r="AA366" s="231">
        <f t="shared" si="298"/>
        <v>0</v>
      </c>
      <c r="AB366" s="231">
        <f t="shared" si="299"/>
        <v>0</v>
      </c>
      <c r="AC366" s="231">
        <f t="shared" si="300"/>
        <v>1</v>
      </c>
      <c r="AD366" s="231">
        <f t="shared" si="301"/>
        <v>0</v>
      </c>
      <c r="AE366" s="231">
        <f t="shared" si="302"/>
        <v>0</v>
      </c>
      <c r="AF366" s="231">
        <f t="shared" si="303"/>
        <v>1</v>
      </c>
      <c r="AG366" s="231">
        <f t="shared" si="304"/>
        <v>1</v>
      </c>
      <c r="AH366" s="231">
        <f t="shared" si="305"/>
        <v>0</v>
      </c>
      <c r="AI366" s="231">
        <f t="shared" si="306"/>
        <v>1</v>
      </c>
      <c r="AJ366" s="231">
        <f t="shared" si="307"/>
        <v>1</v>
      </c>
      <c r="AK366" s="231">
        <f t="shared" si="308"/>
        <v>0</v>
      </c>
      <c r="AL366" s="231">
        <f t="shared" si="309"/>
        <v>0</v>
      </c>
      <c r="AM366" s="231">
        <f t="shared" si="310"/>
        <v>5</v>
      </c>
    </row>
    <row r="367" spans="4:39" x14ac:dyDescent="0.25">
      <c r="D367" s="231">
        <v>209</v>
      </c>
      <c r="E367" s="231" t="s">
        <v>72</v>
      </c>
      <c r="G367" s="231" t="s">
        <v>74</v>
      </c>
      <c r="I367" s="231" t="s">
        <v>76</v>
      </c>
      <c r="L367" s="231" t="s">
        <v>78</v>
      </c>
      <c r="M367" s="231" t="s">
        <v>515</v>
      </c>
      <c r="N367" s="231" t="s">
        <v>516</v>
      </c>
      <c r="O367" s="232" t="s">
        <v>517</v>
      </c>
      <c r="P367" s="231" t="s">
        <v>70</v>
      </c>
      <c r="R367" s="231" t="s">
        <v>564</v>
      </c>
      <c r="S367" s="231" t="s">
        <v>565</v>
      </c>
      <c r="T367" s="231" t="s">
        <v>566</v>
      </c>
      <c r="U367" s="231" t="s">
        <v>573</v>
      </c>
      <c r="V367" s="231" t="s">
        <v>575</v>
      </c>
      <c r="W367" s="231" t="s">
        <v>568</v>
      </c>
      <c r="X367" s="231" t="s">
        <v>570</v>
      </c>
      <c r="Y367" s="231" t="s">
        <v>571</v>
      </c>
      <c r="AA367" s="231">
        <f t="shared" si="298"/>
        <v>0</v>
      </c>
      <c r="AB367" s="231">
        <f t="shared" si="299"/>
        <v>0</v>
      </c>
      <c r="AC367" s="231">
        <f t="shared" si="300"/>
        <v>1</v>
      </c>
      <c r="AD367" s="231">
        <f t="shared" si="301"/>
        <v>0</v>
      </c>
      <c r="AE367" s="231">
        <f t="shared" si="302"/>
        <v>1</v>
      </c>
      <c r="AF367" s="231">
        <f t="shared" si="303"/>
        <v>0</v>
      </c>
      <c r="AG367" s="231">
        <f t="shared" si="304"/>
        <v>0</v>
      </c>
      <c r="AH367" s="231">
        <f t="shared" si="305"/>
        <v>0</v>
      </c>
      <c r="AI367" s="231">
        <f t="shared" si="306"/>
        <v>1</v>
      </c>
      <c r="AJ367" s="231">
        <f t="shared" si="307"/>
        <v>1</v>
      </c>
      <c r="AK367" s="231">
        <f t="shared" si="308"/>
        <v>0</v>
      </c>
      <c r="AL367" s="231">
        <f t="shared" si="309"/>
        <v>1</v>
      </c>
      <c r="AM367" s="231">
        <f t="shared" si="310"/>
        <v>5</v>
      </c>
    </row>
    <row r="368" spans="4:39" x14ac:dyDescent="0.25">
      <c r="D368" s="231">
        <v>210</v>
      </c>
      <c r="E368" s="231" t="s">
        <v>72</v>
      </c>
      <c r="G368" s="231" t="s">
        <v>74</v>
      </c>
      <c r="I368" s="231" t="s">
        <v>76</v>
      </c>
      <c r="K368" s="231" t="s">
        <v>77</v>
      </c>
      <c r="M368" s="231" t="s">
        <v>515</v>
      </c>
      <c r="N368" s="231" t="s">
        <v>516</v>
      </c>
      <c r="O368" s="232" t="s">
        <v>517</v>
      </c>
      <c r="P368" s="231" t="s">
        <v>70</v>
      </c>
      <c r="R368" s="231" t="s">
        <v>564</v>
      </c>
      <c r="S368" s="231" t="s">
        <v>565</v>
      </c>
      <c r="T368" s="231" t="s">
        <v>566</v>
      </c>
      <c r="U368" s="231" t="s">
        <v>573</v>
      </c>
      <c r="V368" s="231" t="s">
        <v>575</v>
      </c>
      <c r="W368" s="231" t="s">
        <v>569</v>
      </c>
      <c r="X368" s="231" t="s">
        <v>570</v>
      </c>
      <c r="Y368" s="231" t="s">
        <v>571</v>
      </c>
      <c r="AA368" s="231">
        <f t="shared" si="298"/>
        <v>0</v>
      </c>
      <c r="AB368" s="231">
        <f t="shared" si="299"/>
        <v>0</v>
      </c>
      <c r="AC368" s="231">
        <f t="shared" si="300"/>
        <v>1</v>
      </c>
      <c r="AD368" s="231">
        <f t="shared" si="301"/>
        <v>0</v>
      </c>
      <c r="AE368" s="231">
        <f t="shared" si="302"/>
        <v>1</v>
      </c>
      <c r="AF368" s="231">
        <f t="shared" si="303"/>
        <v>0</v>
      </c>
      <c r="AG368" s="231">
        <f t="shared" si="304"/>
        <v>1</v>
      </c>
      <c r="AH368" s="231">
        <f t="shared" si="305"/>
        <v>0</v>
      </c>
      <c r="AI368" s="231">
        <f t="shared" si="306"/>
        <v>1</v>
      </c>
      <c r="AJ368" s="231">
        <f t="shared" si="307"/>
        <v>1</v>
      </c>
      <c r="AK368" s="231">
        <f t="shared" si="308"/>
        <v>0</v>
      </c>
      <c r="AL368" s="231">
        <f t="shared" si="309"/>
        <v>1</v>
      </c>
      <c r="AM368" s="231">
        <f t="shared" si="310"/>
        <v>6</v>
      </c>
    </row>
    <row r="369" spans="4:39" x14ac:dyDescent="0.25">
      <c r="D369" s="231">
        <v>211</v>
      </c>
      <c r="E369" s="231" t="s">
        <v>72</v>
      </c>
      <c r="G369" s="231" t="s">
        <v>74</v>
      </c>
      <c r="I369" s="231" t="s">
        <v>76</v>
      </c>
      <c r="K369" s="231" t="s">
        <v>77</v>
      </c>
      <c r="L369" s="231" t="s">
        <v>78</v>
      </c>
      <c r="N369" s="231" t="s">
        <v>516</v>
      </c>
      <c r="O369" s="232" t="s">
        <v>517</v>
      </c>
      <c r="P369" s="231" t="s">
        <v>70</v>
      </c>
      <c r="R369" s="231" t="s">
        <v>564</v>
      </c>
      <c r="S369" s="231" t="s">
        <v>569</v>
      </c>
      <c r="T369" s="231" t="s">
        <v>565</v>
      </c>
      <c r="U369" s="231" t="s">
        <v>573</v>
      </c>
      <c r="V369" s="231" t="s">
        <v>575</v>
      </c>
      <c r="W369" s="231" t="s">
        <v>568</v>
      </c>
      <c r="X369" s="231" t="s">
        <v>570</v>
      </c>
      <c r="Y369" s="231" t="s">
        <v>571</v>
      </c>
      <c r="AA369" s="231">
        <f t="shared" si="298"/>
        <v>0</v>
      </c>
      <c r="AB369" s="231">
        <f t="shared" si="299"/>
        <v>0</v>
      </c>
      <c r="AC369" s="231">
        <f t="shared" si="300"/>
        <v>1</v>
      </c>
      <c r="AD369" s="231">
        <f t="shared" si="301"/>
        <v>0</v>
      </c>
      <c r="AE369" s="231">
        <f t="shared" si="302"/>
        <v>1</v>
      </c>
      <c r="AF369" s="231">
        <f t="shared" si="303"/>
        <v>0</v>
      </c>
      <c r="AG369" s="231">
        <f t="shared" si="304"/>
        <v>1</v>
      </c>
      <c r="AH369" s="231">
        <f t="shared" si="305"/>
        <v>0</v>
      </c>
      <c r="AI369" s="231">
        <f t="shared" si="306"/>
        <v>0</v>
      </c>
      <c r="AJ369" s="231">
        <f t="shared" si="307"/>
        <v>1</v>
      </c>
      <c r="AK369" s="231">
        <f t="shared" si="308"/>
        <v>0</v>
      </c>
      <c r="AL369" s="231">
        <f t="shared" si="309"/>
        <v>1</v>
      </c>
      <c r="AM369" s="231">
        <f t="shared" si="310"/>
        <v>5</v>
      </c>
    </row>
    <row r="370" spans="4:39" x14ac:dyDescent="0.25">
      <c r="D370" s="231">
        <v>212</v>
      </c>
      <c r="E370" s="231" t="s">
        <v>72</v>
      </c>
      <c r="G370" s="231" t="s">
        <v>74</v>
      </c>
      <c r="I370" s="231" t="s">
        <v>76</v>
      </c>
      <c r="K370" s="231" t="s">
        <v>77</v>
      </c>
      <c r="L370" s="231" t="s">
        <v>78</v>
      </c>
      <c r="M370" s="231" t="s">
        <v>515</v>
      </c>
      <c r="O370" s="232" t="s">
        <v>517</v>
      </c>
      <c r="P370" s="231" t="s">
        <v>70</v>
      </c>
      <c r="R370" s="231" t="s">
        <v>564</v>
      </c>
      <c r="S370" s="231" t="s">
        <v>569</v>
      </c>
      <c r="T370" s="231" t="s">
        <v>566</v>
      </c>
      <c r="U370" s="231" t="s">
        <v>573</v>
      </c>
      <c r="V370" s="231" t="s">
        <v>575</v>
      </c>
      <c r="W370" s="231" t="s">
        <v>568</v>
      </c>
      <c r="X370" s="231" t="s">
        <v>570</v>
      </c>
      <c r="Y370" s="231" t="s">
        <v>571</v>
      </c>
      <c r="AA370" s="231">
        <f t="shared" si="298"/>
        <v>0</v>
      </c>
      <c r="AB370" s="231">
        <f t="shared" si="299"/>
        <v>0</v>
      </c>
      <c r="AC370" s="231">
        <f t="shared" si="300"/>
        <v>1</v>
      </c>
      <c r="AD370" s="231">
        <f t="shared" si="301"/>
        <v>0</v>
      </c>
      <c r="AE370" s="231">
        <f t="shared" si="302"/>
        <v>1</v>
      </c>
      <c r="AF370" s="231">
        <f t="shared" si="303"/>
        <v>0</v>
      </c>
      <c r="AG370" s="231">
        <f t="shared" si="304"/>
        <v>1</v>
      </c>
      <c r="AH370" s="231">
        <f t="shared" si="305"/>
        <v>0</v>
      </c>
      <c r="AI370" s="231">
        <f t="shared" si="306"/>
        <v>1</v>
      </c>
      <c r="AJ370" s="231">
        <f t="shared" si="307"/>
        <v>0</v>
      </c>
      <c r="AK370" s="231">
        <f t="shared" si="308"/>
        <v>0</v>
      </c>
      <c r="AL370" s="231">
        <f t="shared" si="309"/>
        <v>1</v>
      </c>
      <c r="AM370" s="231">
        <f t="shared" si="310"/>
        <v>5</v>
      </c>
    </row>
    <row r="371" spans="4:39" x14ac:dyDescent="0.25">
      <c r="D371" s="231">
        <v>213</v>
      </c>
      <c r="E371" s="231" t="s">
        <v>72</v>
      </c>
      <c r="G371" s="231" t="s">
        <v>74</v>
      </c>
      <c r="I371" s="231" t="s">
        <v>76</v>
      </c>
      <c r="K371" s="231" t="s">
        <v>77</v>
      </c>
      <c r="L371" s="231" t="s">
        <v>78</v>
      </c>
      <c r="M371" s="231" t="s">
        <v>515</v>
      </c>
      <c r="N371" s="231" t="s">
        <v>516</v>
      </c>
      <c r="P371" s="231" t="s">
        <v>70</v>
      </c>
      <c r="R371" s="231" t="s">
        <v>564</v>
      </c>
      <c r="S371" s="231" t="s">
        <v>569</v>
      </c>
      <c r="T371" s="231" t="s">
        <v>565</v>
      </c>
      <c r="U371" s="231" t="s">
        <v>573</v>
      </c>
      <c r="V371" s="231" t="s">
        <v>575</v>
      </c>
      <c r="W371" s="231" t="s">
        <v>568</v>
      </c>
      <c r="X371" s="231" t="s">
        <v>570</v>
      </c>
      <c r="Y371" s="231" t="s">
        <v>566</v>
      </c>
      <c r="AA371" s="231">
        <f t="shared" si="298"/>
        <v>0</v>
      </c>
      <c r="AB371" s="231">
        <f t="shared" si="299"/>
        <v>0</v>
      </c>
      <c r="AC371" s="231">
        <f t="shared" si="300"/>
        <v>1</v>
      </c>
      <c r="AD371" s="231">
        <f t="shared" si="301"/>
        <v>0</v>
      </c>
      <c r="AE371" s="231">
        <f t="shared" si="302"/>
        <v>1</v>
      </c>
      <c r="AF371" s="231">
        <f t="shared" si="303"/>
        <v>0</v>
      </c>
      <c r="AG371" s="231">
        <f t="shared" si="304"/>
        <v>1</v>
      </c>
      <c r="AH371" s="231">
        <f t="shared" si="305"/>
        <v>0</v>
      </c>
      <c r="AI371" s="231">
        <f t="shared" si="306"/>
        <v>1</v>
      </c>
      <c r="AJ371" s="231">
        <f t="shared" si="307"/>
        <v>1</v>
      </c>
      <c r="AK371" s="231">
        <f t="shared" si="308"/>
        <v>0</v>
      </c>
      <c r="AL371" s="231">
        <f t="shared" si="309"/>
        <v>1</v>
      </c>
      <c r="AM371" s="231">
        <f t="shared" si="310"/>
        <v>6</v>
      </c>
    </row>
    <row r="372" spans="4:39" x14ac:dyDescent="0.25">
      <c r="D372" s="231">
        <v>214</v>
      </c>
      <c r="E372" s="231" t="s">
        <v>72</v>
      </c>
      <c r="G372" s="231" t="s">
        <v>74</v>
      </c>
      <c r="I372" s="231" t="s">
        <v>76</v>
      </c>
      <c r="K372" s="231" t="s">
        <v>77</v>
      </c>
      <c r="L372" s="231" t="s">
        <v>78</v>
      </c>
      <c r="M372" s="231" t="s">
        <v>515</v>
      </c>
      <c r="N372" s="231" t="s">
        <v>516</v>
      </c>
      <c r="O372" s="232" t="s">
        <v>517</v>
      </c>
      <c r="R372" s="231" t="s">
        <v>564</v>
      </c>
      <c r="S372" s="231" t="s">
        <v>569</v>
      </c>
      <c r="T372" s="231" t="s">
        <v>565</v>
      </c>
      <c r="U372" s="231" t="s">
        <v>573</v>
      </c>
      <c r="V372" s="231" t="s">
        <v>575</v>
      </c>
      <c r="W372" s="231" t="s">
        <v>568</v>
      </c>
      <c r="X372" s="231" t="s">
        <v>566</v>
      </c>
      <c r="Y372" s="231" t="s">
        <v>571</v>
      </c>
      <c r="AA372" s="231">
        <f t="shared" si="298"/>
        <v>0</v>
      </c>
      <c r="AB372" s="231">
        <f t="shared" si="299"/>
        <v>0</v>
      </c>
      <c r="AC372" s="231">
        <f t="shared" si="300"/>
        <v>1</v>
      </c>
      <c r="AD372" s="231">
        <f t="shared" si="301"/>
        <v>0</v>
      </c>
      <c r="AE372" s="231">
        <f t="shared" si="302"/>
        <v>1</v>
      </c>
      <c r="AF372" s="231">
        <f t="shared" si="303"/>
        <v>0</v>
      </c>
      <c r="AG372" s="231">
        <f t="shared" si="304"/>
        <v>1</v>
      </c>
      <c r="AH372" s="231">
        <f t="shared" si="305"/>
        <v>0</v>
      </c>
      <c r="AI372" s="231">
        <f t="shared" si="306"/>
        <v>1</v>
      </c>
      <c r="AJ372" s="231">
        <f t="shared" si="307"/>
        <v>1</v>
      </c>
      <c r="AK372" s="231">
        <f t="shared" si="308"/>
        <v>0</v>
      </c>
      <c r="AL372" s="231">
        <f t="shared" si="309"/>
        <v>0</v>
      </c>
      <c r="AM372" s="231">
        <f t="shared" si="310"/>
        <v>5</v>
      </c>
    </row>
    <row r="373" spans="4:39" x14ac:dyDescent="0.25">
      <c r="D373" s="231">
        <v>215</v>
      </c>
      <c r="E373" s="231" t="s">
        <v>72</v>
      </c>
      <c r="G373" s="231" t="s">
        <v>74</v>
      </c>
      <c r="I373" s="231" t="s">
        <v>76</v>
      </c>
      <c r="J373" s="231" t="s">
        <v>75</v>
      </c>
      <c r="M373" s="231" t="s">
        <v>515</v>
      </c>
      <c r="N373" s="231" t="s">
        <v>516</v>
      </c>
      <c r="O373" s="232" t="s">
        <v>517</v>
      </c>
      <c r="P373" s="231" t="s">
        <v>70</v>
      </c>
      <c r="R373" s="231" t="s">
        <v>564</v>
      </c>
      <c r="S373" s="231" t="s">
        <v>565</v>
      </c>
      <c r="T373" s="231" t="s">
        <v>566</v>
      </c>
      <c r="U373" s="231" t="s">
        <v>573</v>
      </c>
      <c r="V373" s="231" t="s">
        <v>575</v>
      </c>
      <c r="W373" s="231" t="s">
        <v>567</v>
      </c>
      <c r="X373" s="231" t="s">
        <v>570</v>
      </c>
      <c r="Y373" s="231" t="s">
        <v>571</v>
      </c>
      <c r="AA373" s="231">
        <f t="shared" si="298"/>
        <v>0</v>
      </c>
      <c r="AB373" s="231">
        <f t="shared" si="299"/>
        <v>0</v>
      </c>
      <c r="AC373" s="231">
        <f t="shared" si="300"/>
        <v>1</v>
      </c>
      <c r="AD373" s="231">
        <f t="shared" si="301"/>
        <v>0</v>
      </c>
      <c r="AE373" s="231">
        <f t="shared" si="302"/>
        <v>1</v>
      </c>
      <c r="AF373" s="231">
        <f t="shared" si="303"/>
        <v>1</v>
      </c>
      <c r="AG373" s="231">
        <f t="shared" si="304"/>
        <v>0</v>
      </c>
      <c r="AH373" s="231">
        <f t="shared" si="305"/>
        <v>0</v>
      </c>
      <c r="AI373" s="231">
        <f t="shared" si="306"/>
        <v>1</v>
      </c>
      <c r="AJ373" s="231">
        <f t="shared" si="307"/>
        <v>1</v>
      </c>
      <c r="AK373" s="231">
        <f t="shared" si="308"/>
        <v>0</v>
      </c>
      <c r="AL373" s="231">
        <f t="shared" si="309"/>
        <v>1</v>
      </c>
      <c r="AM373" s="231">
        <f t="shared" si="310"/>
        <v>6</v>
      </c>
    </row>
    <row r="374" spans="4:39" x14ac:dyDescent="0.25">
      <c r="D374" s="231">
        <v>216</v>
      </c>
      <c r="E374" s="231" t="s">
        <v>72</v>
      </c>
      <c r="G374" s="231" t="s">
        <v>74</v>
      </c>
      <c r="I374" s="231" t="s">
        <v>76</v>
      </c>
      <c r="J374" s="231" t="s">
        <v>75</v>
      </c>
      <c r="L374" s="231" t="s">
        <v>78</v>
      </c>
      <c r="N374" s="231" t="s">
        <v>516</v>
      </c>
      <c r="O374" s="232" t="s">
        <v>517</v>
      </c>
      <c r="P374" s="231" t="s">
        <v>70</v>
      </c>
      <c r="R374" s="231" t="s">
        <v>568</v>
      </c>
      <c r="S374" s="231" t="s">
        <v>565</v>
      </c>
      <c r="T374" s="231" t="s">
        <v>564</v>
      </c>
      <c r="U374" s="231" t="s">
        <v>573</v>
      </c>
      <c r="V374" s="231" t="s">
        <v>575</v>
      </c>
      <c r="W374" s="231" t="s">
        <v>567</v>
      </c>
      <c r="X374" s="231" t="s">
        <v>570</v>
      </c>
      <c r="Y374" s="231" t="s">
        <v>571</v>
      </c>
      <c r="AA374" s="231">
        <f t="shared" si="298"/>
        <v>0</v>
      </c>
      <c r="AB374" s="231">
        <f t="shared" si="299"/>
        <v>0</v>
      </c>
      <c r="AC374" s="231">
        <f t="shared" si="300"/>
        <v>1</v>
      </c>
      <c r="AD374" s="231">
        <f t="shared" si="301"/>
        <v>0</v>
      </c>
      <c r="AE374" s="231">
        <f t="shared" si="302"/>
        <v>1</v>
      </c>
      <c r="AF374" s="231">
        <f t="shared" si="303"/>
        <v>1</v>
      </c>
      <c r="AG374" s="231">
        <f t="shared" si="304"/>
        <v>0</v>
      </c>
      <c r="AH374" s="231">
        <f t="shared" si="305"/>
        <v>0</v>
      </c>
      <c r="AI374" s="231">
        <f t="shared" si="306"/>
        <v>0</v>
      </c>
      <c r="AJ374" s="231">
        <f t="shared" si="307"/>
        <v>1</v>
      </c>
      <c r="AK374" s="231">
        <f t="shared" si="308"/>
        <v>0</v>
      </c>
      <c r="AL374" s="231">
        <f t="shared" si="309"/>
        <v>1</v>
      </c>
      <c r="AM374" s="231">
        <f t="shared" si="310"/>
        <v>5</v>
      </c>
    </row>
    <row r="375" spans="4:39" x14ac:dyDescent="0.25">
      <c r="D375" s="231">
        <v>217</v>
      </c>
      <c r="E375" s="231" t="s">
        <v>72</v>
      </c>
      <c r="G375" s="231" t="s">
        <v>74</v>
      </c>
      <c r="I375" s="231" t="s">
        <v>76</v>
      </c>
      <c r="J375" s="231" t="s">
        <v>75</v>
      </c>
      <c r="L375" s="231" t="s">
        <v>78</v>
      </c>
      <c r="M375" s="231" t="s">
        <v>515</v>
      </c>
      <c r="O375" s="232" t="s">
        <v>517</v>
      </c>
      <c r="P375" s="231" t="s">
        <v>70</v>
      </c>
      <c r="R375" s="231" t="s">
        <v>568</v>
      </c>
      <c r="S375" s="231" t="s">
        <v>564</v>
      </c>
      <c r="T375" s="231" t="s">
        <v>566</v>
      </c>
      <c r="U375" s="231" t="s">
        <v>573</v>
      </c>
      <c r="V375" s="231" t="s">
        <v>575</v>
      </c>
      <c r="W375" s="231" t="s">
        <v>567</v>
      </c>
      <c r="X375" s="231" t="s">
        <v>570</v>
      </c>
      <c r="Y375" s="231" t="s">
        <v>571</v>
      </c>
      <c r="AA375" s="231">
        <f t="shared" si="298"/>
        <v>0</v>
      </c>
      <c r="AB375" s="231">
        <f t="shared" si="299"/>
        <v>0</v>
      </c>
      <c r="AC375" s="231">
        <f t="shared" si="300"/>
        <v>1</v>
      </c>
      <c r="AD375" s="231">
        <f t="shared" si="301"/>
        <v>0</v>
      </c>
      <c r="AE375" s="231">
        <f t="shared" si="302"/>
        <v>1</v>
      </c>
      <c r="AF375" s="231">
        <f t="shared" si="303"/>
        <v>1</v>
      </c>
      <c r="AG375" s="231">
        <f t="shared" si="304"/>
        <v>0</v>
      </c>
      <c r="AH375" s="231">
        <f t="shared" si="305"/>
        <v>0</v>
      </c>
      <c r="AI375" s="231">
        <f t="shared" si="306"/>
        <v>1</v>
      </c>
      <c r="AJ375" s="231">
        <f t="shared" si="307"/>
        <v>0</v>
      </c>
      <c r="AK375" s="231">
        <f t="shared" si="308"/>
        <v>0</v>
      </c>
      <c r="AL375" s="231">
        <f t="shared" si="309"/>
        <v>1</v>
      </c>
      <c r="AM375" s="231">
        <f t="shared" si="310"/>
        <v>5</v>
      </c>
    </row>
    <row r="376" spans="4:39" x14ac:dyDescent="0.25">
      <c r="D376" s="231">
        <v>218</v>
      </c>
      <c r="E376" s="231" t="s">
        <v>72</v>
      </c>
      <c r="G376" s="231" t="s">
        <v>74</v>
      </c>
      <c r="I376" s="231" t="s">
        <v>76</v>
      </c>
      <c r="J376" s="231" t="s">
        <v>75</v>
      </c>
      <c r="L376" s="231" t="s">
        <v>78</v>
      </c>
      <c r="M376" s="231" t="s">
        <v>515</v>
      </c>
      <c r="N376" s="231" t="s">
        <v>516</v>
      </c>
      <c r="P376" s="231" t="s">
        <v>70</v>
      </c>
      <c r="R376" s="231" t="s">
        <v>568</v>
      </c>
      <c r="S376" s="231" t="s">
        <v>565</v>
      </c>
      <c r="T376" s="231" t="s">
        <v>564</v>
      </c>
      <c r="U376" s="231" t="s">
        <v>573</v>
      </c>
      <c r="V376" s="231" t="s">
        <v>575</v>
      </c>
      <c r="W376" s="231" t="s">
        <v>567</v>
      </c>
      <c r="X376" s="231" t="s">
        <v>570</v>
      </c>
      <c r="Y376" s="231" t="s">
        <v>566</v>
      </c>
      <c r="AA376" s="231">
        <f t="shared" si="298"/>
        <v>0</v>
      </c>
      <c r="AB376" s="231">
        <f t="shared" si="299"/>
        <v>0</v>
      </c>
      <c r="AC376" s="231">
        <f t="shared" si="300"/>
        <v>1</v>
      </c>
      <c r="AD376" s="231">
        <f t="shared" si="301"/>
        <v>0</v>
      </c>
      <c r="AE376" s="231">
        <f t="shared" si="302"/>
        <v>1</v>
      </c>
      <c r="AF376" s="231">
        <f t="shared" si="303"/>
        <v>1</v>
      </c>
      <c r="AG376" s="231">
        <f t="shared" si="304"/>
        <v>0</v>
      </c>
      <c r="AH376" s="231">
        <f t="shared" si="305"/>
        <v>0</v>
      </c>
      <c r="AI376" s="231">
        <f t="shared" si="306"/>
        <v>1</v>
      </c>
      <c r="AJ376" s="231">
        <f t="shared" si="307"/>
        <v>1</v>
      </c>
      <c r="AK376" s="231">
        <f t="shared" si="308"/>
        <v>0</v>
      </c>
      <c r="AL376" s="231">
        <f t="shared" si="309"/>
        <v>1</v>
      </c>
      <c r="AM376" s="231">
        <f t="shared" si="310"/>
        <v>6</v>
      </c>
    </row>
    <row r="377" spans="4:39" x14ac:dyDescent="0.25">
      <c r="D377" s="231">
        <v>219</v>
      </c>
      <c r="E377" s="231" t="s">
        <v>72</v>
      </c>
      <c r="G377" s="231" t="s">
        <v>74</v>
      </c>
      <c r="I377" s="231" t="s">
        <v>76</v>
      </c>
      <c r="J377" s="231" t="s">
        <v>75</v>
      </c>
      <c r="L377" s="231" t="s">
        <v>78</v>
      </c>
      <c r="M377" s="231" t="s">
        <v>515</v>
      </c>
      <c r="N377" s="231" t="s">
        <v>516</v>
      </c>
      <c r="O377" s="232" t="s">
        <v>517</v>
      </c>
      <c r="R377" s="231" t="s">
        <v>568</v>
      </c>
      <c r="S377" s="231" t="s">
        <v>565</v>
      </c>
      <c r="T377" s="231" t="s">
        <v>564</v>
      </c>
      <c r="U377" s="231" t="s">
        <v>573</v>
      </c>
      <c r="V377" s="231" t="s">
        <v>575</v>
      </c>
      <c r="W377" s="231" t="s">
        <v>567</v>
      </c>
      <c r="X377" s="231" t="s">
        <v>566</v>
      </c>
      <c r="Y377" s="231" t="s">
        <v>571</v>
      </c>
      <c r="AA377" s="231">
        <f t="shared" si="298"/>
        <v>0</v>
      </c>
      <c r="AB377" s="231">
        <f t="shared" si="299"/>
        <v>0</v>
      </c>
      <c r="AC377" s="231">
        <f t="shared" si="300"/>
        <v>1</v>
      </c>
      <c r="AD377" s="231">
        <f t="shared" si="301"/>
        <v>0</v>
      </c>
      <c r="AE377" s="231">
        <f t="shared" si="302"/>
        <v>1</v>
      </c>
      <c r="AF377" s="231">
        <f t="shared" si="303"/>
        <v>1</v>
      </c>
      <c r="AG377" s="231">
        <f t="shared" si="304"/>
        <v>0</v>
      </c>
      <c r="AH377" s="231">
        <f t="shared" si="305"/>
        <v>0</v>
      </c>
      <c r="AI377" s="231">
        <f t="shared" si="306"/>
        <v>1</v>
      </c>
      <c r="AJ377" s="231">
        <f t="shared" si="307"/>
        <v>1</v>
      </c>
      <c r="AK377" s="231">
        <f t="shared" si="308"/>
        <v>0</v>
      </c>
      <c r="AL377" s="231">
        <f t="shared" si="309"/>
        <v>0</v>
      </c>
      <c r="AM377" s="231">
        <f t="shared" si="310"/>
        <v>5</v>
      </c>
    </row>
    <row r="378" spans="4:39" x14ac:dyDescent="0.25">
      <c r="D378" s="231">
        <v>220</v>
      </c>
      <c r="E378" s="231" t="s">
        <v>72</v>
      </c>
      <c r="G378" s="231" t="s">
        <v>74</v>
      </c>
      <c r="I378" s="231" t="s">
        <v>76</v>
      </c>
      <c r="J378" s="231" t="s">
        <v>75</v>
      </c>
      <c r="K378" s="231" t="s">
        <v>77</v>
      </c>
      <c r="N378" s="231" t="s">
        <v>516</v>
      </c>
      <c r="O378" s="232" t="s">
        <v>517</v>
      </c>
      <c r="P378" s="231" t="s">
        <v>70</v>
      </c>
      <c r="R378" s="231" t="s">
        <v>564</v>
      </c>
      <c r="S378" s="231" t="s">
        <v>569</v>
      </c>
      <c r="T378" s="231" t="s">
        <v>565</v>
      </c>
      <c r="U378" s="231" t="s">
        <v>573</v>
      </c>
      <c r="V378" s="231" t="s">
        <v>575</v>
      </c>
      <c r="W378" s="231" t="s">
        <v>567</v>
      </c>
      <c r="X378" s="231" t="s">
        <v>570</v>
      </c>
      <c r="Y378" s="231" t="s">
        <v>571</v>
      </c>
      <c r="AA378" s="231">
        <f t="shared" si="298"/>
        <v>0</v>
      </c>
      <c r="AB378" s="231">
        <f t="shared" si="299"/>
        <v>0</v>
      </c>
      <c r="AC378" s="231">
        <f t="shared" si="300"/>
        <v>1</v>
      </c>
      <c r="AD378" s="231">
        <f t="shared" si="301"/>
        <v>0</v>
      </c>
      <c r="AE378" s="231">
        <f t="shared" si="302"/>
        <v>1</v>
      </c>
      <c r="AF378" s="231">
        <f t="shared" si="303"/>
        <v>1</v>
      </c>
      <c r="AG378" s="231">
        <f t="shared" si="304"/>
        <v>1</v>
      </c>
      <c r="AH378" s="231">
        <f t="shared" si="305"/>
        <v>0</v>
      </c>
      <c r="AI378" s="231">
        <f t="shared" si="306"/>
        <v>0</v>
      </c>
      <c r="AJ378" s="231">
        <f t="shared" si="307"/>
        <v>1</v>
      </c>
      <c r="AK378" s="231">
        <f t="shared" si="308"/>
        <v>0</v>
      </c>
      <c r="AL378" s="231">
        <f t="shared" si="309"/>
        <v>1</v>
      </c>
      <c r="AM378" s="231">
        <f t="shared" si="310"/>
        <v>6</v>
      </c>
    </row>
    <row r="379" spans="4:39" x14ac:dyDescent="0.25">
      <c r="D379" s="231">
        <v>221</v>
      </c>
      <c r="E379" s="231" t="s">
        <v>72</v>
      </c>
      <c r="G379" s="231" t="s">
        <v>74</v>
      </c>
      <c r="I379" s="231" t="s">
        <v>76</v>
      </c>
      <c r="J379" s="231" t="s">
        <v>75</v>
      </c>
      <c r="K379" s="231" t="s">
        <v>77</v>
      </c>
      <c r="M379" s="231" t="s">
        <v>515</v>
      </c>
      <c r="O379" s="232" t="s">
        <v>517</v>
      </c>
      <c r="P379" s="231" t="s">
        <v>70</v>
      </c>
      <c r="R379" s="231" t="s">
        <v>564</v>
      </c>
      <c r="S379" s="231" t="s">
        <v>569</v>
      </c>
      <c r="T379" s="231" t="s">
        <v>566</v>
      </c>
      <c r="U379" s="231" t="s">
        <v>573</v>
      </c>
      <c r="V379" s="231" t="s">
        <v>575</v>
      </c>
      <c r="W379" s="231" t="s">
        <v>567</v>
      </c>
      <c r="X379" s="231" t="s">
        <v>570</v>
      </c>
      <c r="Y379" s="231" t="s">
        <v>571</v>
      </c>
      <c r="AA379" s="231">
        <f t="shared" si="298"/>
        <v>0</v>
      </c>
      <c r="AB379" s="231">
        <f t="shared" si="299"/>
        <v>0</v>
      </c>
      <c r="AC379" s="231">
        <f t="shared" si="300"/>
        <v>1</v>
      </c>
      <c r="AD379" s="231">
        <f t="shared" si="301"/>
        <v>0</v>
      </c>
      <c r="AE379" s="231">
        <f t="shared" si="302"/>
        <v>1</v>
      </c>
      <c r="AF379" s="231">
        <f t="shared" si="303"/>
        <v>1</v>
      </c>
      <c r="AG379" s="231">
        <f t="shared" si="304"/>
        <v>1</v>
      </c>
      <c r="AH379" s="231">
        <f t="shared" si="305"/>
        <v>0</v>
      </c>
      <c r="AI379" s="231">
        <f t="shared" si="306"/>
        <v>1</v>
      </c>
      <c r="AJ379" s="231">
        <f t="shared" si="307"/>
        <v>0</v>
      </c>
      <c r="AK379" s="231">
        <f t="shared" si="308"/>
        <v>0</v>
      </c>
      <c r="AL379" s="231">
        <f t="shared" si="309"/>
        <v>1</v>
      </c>
      <c r="AM379" s="231">
        <f t="shared" si="310"/>
        <v>6</v>
      </c>
    </row>
    <row r="380" spans="4:39" x14ac:dyDescent="0.25">
      <c r="D380" s="231">
        <v>222</v>
      </c>
      <c r="E380" s="231" t="s">
        <v>72</v>
      </c>
      <c r="G380" s="231" t="s">
        <v>74</v>
      </c>
      <c r="I380" s="231" t="s">
        <v>76</v>
      </c>
      <c r="J380" s="231" t="s">
        <v>75</v>
      </c>
      <c r="K380" s="231" t="s">
        <v>77</v>
      </c>
      <c r="M380" s="231" t="s">
        <v>515</v>
      </c>
      <c r="N380" s="231" t="s">
        <v>516</v>
      </c>
      <c r="P380" s="231" t="s">
        <v>70</v>
      </c>
      <c r="R380" s="231" t="s">
        <v>564</v>
      </c>
      <c r="S380" s="231" t="s">
        <v>569</v>
      </c>
      <c r="T380" s="231" t="s">
        <v>565</v>
      </c>
      <c r="U380" s="231" t="s">
        <v>573</v>
      </c>
      <c r="V380" s="231" t="s">
        <v>575</v>
      </c>
      <c r="W380" s="231" t="s">
        <v>567</v>
      </c>
      <c r="X380" s="231" t="s">
        <v>570</v>
      </c>
      <c r="Y380" s="231" t="s">
        <v>566</v>
      </c>
      <c r="AA380" s="231">
        <f t="shared" si="298"/>
        <v>0</v>
      </c>
      <c r="AB380" s="231">
        <f t="shared" si="299"/>
        <v>0</v>
      </c>
      <c r="AC380" s="231">
        <f t="shared" si="300"/>
        <v>1</v>
      </c>
      <c r="AD380" s="231">
        <f t="shared" si="301"/>
        <v>0</v>
      </c>
      <c r="AE380" s="231">
        <f t="shared" si="302"/>
        <v>1</v>
      </c>
      <c r="AF380" s="231">
        <f t="shared" si="303"/>
        <v>1</v>
      </c>
      <c r="AG380" s="231">
        <f t="shared" si="304"/>
        <v>1</v>
      </c>
      <c r="AH380" s="231">
        <f t="shared" si="305"/>
        <v>0</v>
      </c>
      <c r="AI380" s="231">
        <f t="shared" si="306"/>
        <v>1</v>
      </c>
      <c r="AJ380" s="231">
        <f t="shared" si="307"/>
        <v>1</v>
      </c>
      <c r="AK380" s="231">
        <f t="shared" si="308"/>
        <v>0</v>
      </c>
      <c r="AL380" s="231">
        <f t="shared" si="309"/>
        <v>1</v>
      </c>
      <c r="AM380" s="231">
        <f t="shared" si="310"/>
        <v>7</v>
      </c>
    </row>
    <row r="381" spans="4:39" x14ac:dyDescent="0.25">
      <c r="D381" s="231">
        <v>223</v>
      </c>
      <c r="E381" s="231" t="s">
        <v>72</v>
      </c>
      <c r="G381" s="231" t="s">
        <v>74</v>
      </c>
      <c r="I381" s="231" t="s">
        <v>76</v>
      </c>
      <c r="J381" s="231" t="s">
        <v>75</v>
      </c>
      <c r="K381" s="231" t="s">
        <v>77</v>
      </c>
      <c r="M381" s="231" t="s">
        <v>515</v>
      </c>
      <c r="N381" s="231" t="s">
        <v>516</v>
      </c>
      <c r="O381" s="232" t="s">
        <v>517</v>
      </c>
      <c r="R381" s="231" t="s">
        <v>564</v>
      </c>
      <c r="S381" s="231" t="s">
        <v>569</v>
      </c>
      <c r="T381" s="231" t="s">
        <v>565</v>
      </c>
      <c r="U381" s="231" t="s">
        <v>573</v>
      </c>
      <c r="V381" s="231" t="s">
        <v>575</v>
      </c>
      <c r="W381" s="231" t="s">
        <v>567</v>
      </c>
      <c r="X381" s="231" t="s">
        <v>566</v>
      </c>
      <c r="Y381" s="231" t="s">
        <v>571</v>
      </c>
      <c r="AA381" s="231">
        <f t="shared" si="298"/>
        <v>0</v>
      </c>
      <c r="AB381" s="231">
        <f t="shared" si="299"/>
        <v>0</v>
      </c>
      <c r="AC381" s="231">
        <f t="shared" si="300"/>
        <v>1</v>
      </c>
      <c r="AD381" s="231">
        <f t="shared" si="301"/>
        <v>0</v>
      </c>
      <c r="AE381" s="231">
        <f t="shared" si="302"/>
        <v>1</v>
      </c>
      <c r="AF381" s="231">
        <f t="shared" si="303"/>
        <v>1</v>
      </c>
      <c r="AG381" s="231">
        <f t="shared" si="304"/>
        <v>1</v>
      </c>
      <c r="AH381" s="231">
        <f t="shared" si="305"/>
        <v>0</v>
      </c>
      <c r="AI381" s="231">
        <f t="shared" si="306"/>
        <v>1</v>
      </c>
      <c r="AJ381" s="231">
        <f t="shared" si="307"/>
        <v>1</v>
      </c>
      <c r="AK381" s="231">
        <f t="shared" si="308"/>
        <v>0</v>
      </c>
      <c r="AL381" s="231">
        <f t="shared" si="309"/>
        <v>0</v>
      </c>
      <c r="AM381" s="231">
        <f t="shared" si="310"/>
        <v>6</v>
      </c>
    </row>
    <row r="382" spans="4:39" x14ac:dyDescent="0.25">
      <c r="D382" s="231">
        <v>224</v>
      </c>
      <c r="E382" s="231" t="s">
        <v>72</v>
      </c>
      <c r="G382" s="231" t="s">
        <v>74</v>
      </c>
      <c r="I382" s="231" t="s">
        <v>76</v>
      </c>
      <c r="J382" s="231" t="s">
        <v>75</v>
      </c>
      <c r="K382" s="231" t="s">
        <v>77</v>
      </c>
      <c r="L382" s="231" t="s">
        <v>78</v>
      </c>
      <c r="O382" s="232" t="s">
        <v>517</v>
      </c>
      <c r="P382" s="231" t="s">
        <v>70</v>
      </c>
      <c r="R382" s="231" t="s">
        <v>568</v>
      </c>
      <c r="S382" s="231" t="s">
        <v>569</v>
      </c>
      <c r="T382" s="231" t="s">
        <v>564</v>
      </c>
      <c r="U382" s="231" t="s">
        <v>573</v>
      </c>
      <c r="V382" s="231" t="s">
        <v>575</v>
      </c>
      <c r="W382" s="231" t="s">
        <v>567</v>
      </c>
      <c r="X382" s="231" t="s">
        <v>570</v>
      </c>
      <c r="Y382" s="231" t="s">
        <v>571</v>
      </c>
      <c r="AA382" s="231">
        <f t="shared" si="298"/>
        <v>0</v>
      </c>
      <c r="AB382" s="231">
        <f t="shared" si="299"/>
        <v>0</v>
      </c>
      <c r="AC382" s="231">
        <f t="shared" si="300"/>
        <v>1</v>
      </c>
      <c r="AD382" s="231">
        <f t="shared" si="301"/>
        <v>0</v>
      </c>
      <c r="AE382" s="231">
        <f t="shared" si="302"/>
        <v>1</v>
      </c>
      <c r="AF382" s="231">
        <f t="shared" si="303"/>
        <v>1</v>
      </c>
      <c r="AG382" s="231">
        <f t="shared" si="304"/>
        <v>1</v>
      </c>
      <c r="AH382" s="231">
        <f t="shared" si="305"/>
        <v>0</v>
      </c>
      <c r="AI382" s="231">
        <f t="shared" si="306"/>
        <v>0</v>
      </c>
      <c r="AJ382" s="231">
        <f t="shared" si="307"/>
        <v>0</v>
      </c>
      <c r="AK382" s="231">
        <f t="shared" si="308"/>
        <v>0</v>
      </c>
      <c r="AL382" s="231">
        <f t="shared" si="309"/>
        <v>1</v>
      </c>
      <c r="AM382" s="231">
        <f t="shared" si="310"/>
        <v>5</v>
      </c>
    </row>
    <row r="383" spans="4:39" x14ac:dyDescent="0.25">
      <c r="D383" s="231">
        <v>225</v>
      </c>
      <c r="E383" s="231" t="s">
        <v>72</v>
      </c>
      <c r="G383" s="231" t="s">
        <v>74</v>
      </c>
      <c r="I383" s="231" t="s">
        <v>76</v>
      </c>
      <c r="J383" s="231" t="s">
        <v>75</v>
      </c>
      <c r="K383" s="231" t="s">
        <v>77</v>
      </c>
      <c r="L383" s="231" t="s">
        <v>78</v>
      </c>
      <c r="N383" s="231" t="s">
        <v>516</v>
      </c>
      <c r="P383" s="231" t="s">
        <v>70</v>
      </c>
      <c r="R383" s="231" t="s">
        <v>568</v>
      </c>
      <c r="S383" s="231" t="s">
        <v>569</v>
      </c>
      <c r="T383" s="231" t="s">
        <v>565</v>
      </c>
      <c r="U383" s="231" t="s">
        <v>573</v>
      </c>
      <c r="V383" s="231" t="s">
        <v>575</v>
      </c>
      <c r="W383" s="231" t="s">
        <v>567</v>
      </c>
      <c r="X383" s="231" t="s">
        <v>570</v>
      </c>
      <c r="Y383" s="231" t="s">
        <v>564</v>
      </c>
      <c r="AA383" s="231">
        <f t="shared" si="298"/>
        <v>0</v>
      </c>
      <c r="AB383" s="231">
        <f t="shared" si="299"/>
        <v>0</v>
      </c>
      <c r="AC383" s="231">
        <f t="shared" si="300"/>
        <v>1</v>
      </c>
      <c r="AD383" s="231">
        <f t="shared" si="301"/>
        <v>0</v>
      </c>
      <c r="AE383" s="231">
        <f t="shared" si="302"/>
        <v>1</v>
      </c>
      <c r="AF383" s="231">
        <f t="shared" si="303"/>
        <v>1</v>
      </c>
      <c r="AG383" s="231">
        <f t="shared" si="304"/>
        <v>1</v>
      </c>
      <c r="AH383" s="231">
        <f t="shared" si="305"/>
        <v>0</v>
      </c>
      <c r="AI383" s="231">
        <f t="shared" si="306"/>
        <v>0</v>
      </c>
      <c r="AJ383" s="231">
        <f t="shared" si="307"/>
        <v>1</v>
      </c>
      <c r="AK383" s="231">
        <f t="shared" si="308"/>
        <v>0</v>
      </c>
      <c r="AL383" s="231">
        <f t="shared" si="309"/>
        <v>1</v>
      </c>
      <c r="AM383" s="231">
        <f t="shared" si="310"/>
        <v>6</v>
      </c>
    </row>
    <row r="384" spans="4:39" x14ac:dyDescent="0.25">
      <c r="D384" s="231">
        <v>226</v>
      </c>
      <c r="E384" s="231" t="s">
        <v>72</v>
      </c>
      <c r="G384" s="231" t="s">
        <v>74</v>
      </c>
      <c r="I384" s="231" t="s">
        <v>76</v>
      </c>
      <c r="J384" s="231" t="s">
        <v>75</v>
      </c>
      <c r="K384" s="231" t="s">
        <v>77</v>
      </c>
      <c r="L384" s="231" t="s">
        <v>78</v>
      </c>
      <c r="N384" s="231" t="s">
        <v>516</v>
      </c>
      <c r="O384" s="232" t="s">
        <v>517</v>
      </c>
      <c r="R384" s="231" t="s">
        <v>568</v>
      </c>
      <c r="S384" s="231" t="s">
        <v>569</v>
      </c>
      <c r="T384" s="231" t="s">
        <v>565</v>
      </c>
      <c r="U384" s="231" t="s">
        <v>573</v>
      </c>
      <c r="V384" s="231" t="s">
        <v>575</v>
      </c>
      <c r="W384" s="231" t="s">
        <v>567</v>
      </c>
      <c r="X384" s="231" t="s">
        <v>564</v>
      </c>
      <c r="Y384" s="231" t="s">
        <v>571</v>
      </c>
      <c r="AA384" s="231">
        <f t="shared" si="298"/>
        <v>0</v>
      </c>
      <c r="AB384" s="231">
        <f t="shared" si="299"/>
        <v>0</v>
      </c>
      <c r="AC384" s="231">
        <f t="shared" si="300"/>
        <v>1</v>
      </c>
      <c r="AD384" s="231">
        <f t="shared" si="301"/>
        <v>0</v>
      </c>
      <c r="AE384" s="231">
        <f t="shared" si="302"/>
        <v>1</v>
      </c>
      <c r="AF384" s="231">
        <f t="shared" si="303"/>
        <v>1</v>
      </c>
      <c r="AG384" s="231">
        <f t="shared" si="304"/>
        <v>1</v>
      </c>
      <c r="AH384" s="231">
        <f t="shared" si="305"/>
        <v>0</v>
      </c>
      <c r="AI384" s="231">
        <f t="shared" si="306"/>
        <v>0</v>
      </c>
      <c r="AJ384" s="231">
        <f t="shared" si="307"/>
        <v>1</v>
      </c>
      <c r="AK384" s="231">
        <f t="shared" si="308"/>
        <v>0</v>
      </c>
      <c r="AL384" s="231">
        <f t="shared" si="309"/>
        <v>0</v>
      </c>
      <c r="AM384" s="231">
        <f t="shared" si="310"/>
        <v>5</v>
      </c>
    </row>
    <row r="385" spans="4:39" x14ac:dyDescent="0.25">
      <c r="D385" s="231">
        <v>227</v>
      </c>
      <c r="E385" s="231" t="s">
        <v>72</v>
      </c>
      <c r="G385" s="231" t="s">
        <v>74</v>
      </c>
      <c r="I385" s="231" t="s">
        <v>76</v>
      </c>
      <c r="J385" s="231" t="s">
        <v>75</v>
      </c>
      <c r="K385" s="231" t="s">
        <v>77</v>
      </c>
      <c r="L385" s="231" t="s">
        <v>78</v>
      </c>
      <c r="M385" s="231" t="s">
        <v>515</v>
      </c>
      <c r="P385" s="231" t="s">
        <v>70</v>
      </c>
      <c r="R385" s="231" t="s">
        <v>568</v>
      </c>
      <c r="S385" s="231" t="s">
        <v>569</v>
      </c>
      <c r="T385" s="231" t="s">
        <v>564</v>
      </c>
      <c r="U385" s="231" t="s">
        <v>573</v>
      </c>
      <c r="V385" s="231" t="s">
        <v>575</v>
      </c>
      <c r="W385" s="231" t="s">
        <v>567</v>
      </c>
      <c r="X385" s="231" t="s">
        <v>570</v>
      </c>
      <c r="Y385" s="231" t="s">
        <v>566</v>
      </c>
      <c r="AA385" s="231">
        <f t="shared" si="298"/>
        <v>0</v>
      </c>
      <c r="AB385" s="231">
        <f t="shared" si="299"/>
        <v>0</v>
      </c>
      <c r="AC385" s="231">
        <f t="shared" si="300"/>
        <v>1</v>
      </c>
      <c r="AD385" s="231">
        <f t="shared" si="301"/>
        <v>0</v>
      </c>
      <c r="AE385" s="231">
        <f t="shared" si="302"/>
        <v>1</v>
      </c>
      <c r="AF385" s="231">
        <f t="shared" si="303"/>
        <v>1</v>
      </c>
      <c r="AG385" s="231">
        <f t="shared" si="304"/>
        <v>1</v>
      </c>
      <c r="AH385" s="231">
        <f t="shared" si="305"/>
        <v>0</v>
      </c>
      <c r="AI385" s="231">
        <f t="shared" si="306"/>
        <v>1</v>
      </c>
      <c r="AJ385" s="231">
        <f t="shared" si="307"/>
        <v>0</v>
      </c>
      <c r="AK385" s="231">
        <f t="shared" si="308"/>
        <v>0</v>
      </c>
      <c r="AL385" s="231">
        <f t="shared" si="309"/>
        <v>1</v>
      </c>
      <c r="AM385" s="231">
        <f t="shared" si="310"/>
        <v>6</v>
      </c>
    </row>
    <row r="386" spans="4:39" x14ac:dyDescent="0.25">
      <c r="D386" s="231">
        <v>228</v>
      </c>
      <c r="E386" s="231" t="s">
        <v>72</v>
      </c>
      <c r="G386" s="231" t="s">
        <v>74</v>
      </c>
      <c r="I386" s="231" t="s">
        <v>76</v>
      </c>
      <c r="J386" s="231" t="s">
        <v>75</v>
      </c>
      <c r="K386" s="231" t="s">
        <v>77</v>
      </c>
      <c r="L386" s="231" t="s">
        <v>78</v>
      </c>
      <c r="M386" s="231" t="s">
        <v>515</v>
      </c>
      <c r="O386" s="232" t="s">
        <v>517</v>
      </c>
      <c r="R386" s="231" t="s">
        <v>568</v>
      </c>
      <c r="S386" s="231" t="s">
        <v>569</v>
      </c>
      <c r="T386" s="231" t="s">
        <v>564</v>
      </c>
      <c r="U386" s="231" t="s">
        <v>573</v>
      </c>
      <c r="V386" s="231" t="s">
        <v>575</v>
      </c>
      <c r="W386" s="231" t="s">
        <v>567</v>
      </c>
      <c r="X386" s="231" t="s">
        <v>566</v>
      </c>
      <c r="Y386" s="231" t="s">
        <v>571</v>
      </c>
      <c r="AA386" s="231">
        <f t="shared" si="298"/>
        <v>0</v>
      </c>
      <c r="AB386" s="231">
        <f t="shared" si="299"/>
        <v>0</v>
      </c>
      <c r="AC386" s="231">
        <f t="shared" si="300"/>
        <v>1</v>
      </c>
      <c r="AD386" s="231">
        <f t="shared" si="301"/>
        <v>0</v>
      </c>
      <c r="AE386" s="231">
        <f t="shared" si="302"/>
        <v>1</v>
      </c>
      <c r="AF386" s="231">
        <f t="shared" si="303"/>
        <v>1</v>
      </c>
      <c r="AG386" s="231">
        <f t="shared" si="304"/>
        <v>1</v>
      </c>
      <c r="AH386" s="231">
        <f t="shared" si="305"/>
        <v>0</v>
      </c>
      <c r="AI386" s="231">
        <f t="shared" si="306"/>
        <v>1</v>
      </c>
      <c r="AJ386" s="231">
        <f t="shared" si="307"/>
        <v>0</v>
      </c>
      <c r="AK386" s="231">
        <f t="shared" si="308"/>
        <v>0</v>
      </c>
      <c r="AL386" s="231">
        <f t="shared" si="309"/>
        <v>0</v>
      </c>
      <c r="AM386" s="231">
        <f t="shared" si="310"/>
        <v>5</v>
      </c>
    </row>
    <row r="387" spans="4:39" x14ac:dyDescent="0.25">
      <c r="D387" s="231">
        <v>229</v>
      </c>
      <c r="E387" s="231" t="s">
        <v>72</v>
      </c>
      <c r="G387" s="231" t="s">
        <v>74</v>
      </c>
      <c r="I387" s="231" t="s">
        <v>76</v>
      </c>
      <c r="J387" s="231" t="s">
        <v>75</v>
      </c>
      <c r="K387" s="231" t="s">
        <v>77</v>
      </c>
      <c r="L387" s="231" t="s">
        <v>78</v>
      </c>
      <c r="M387" s="231" t="s">
        <v>515</v>
      </c>
      <c r="N387" s="231" t="s">
        <v>516</v>
      </c>
      <c r="R387" s="231" t="s">
        <v>568</v>
      </c>
      <c r="S387" s="231" t="s">
        <v>569</v>
      </c>
      <c r="T387" s="231" t="s">
        <v>565</v>
      </c>
      <c r="U387" s="231" t="s">
        <v>573</v>
      </c>
      <c r="V387" s="231" t="s">
        <v>575</v>
      </c>
      <c r="W387" s="231" t="s">
        <v>567</v>
      </c>
      <c r="X387" s="231" t="s">
        <v>564</v>
      </c>
      <c r="Y387" s="231" t="s">
        <v>566</v>
      </c>
      <c r="AA387" s="231">
        <f t="shared" si="298"/>
        <v>0</v>
      </c>
      <c r="AB387" s="231">
        <f t="shared" si="299"/>
        <v>0</v>
      </c>
      <c r="AC387" s="231">
        <f t="shared" si="300"/>
        <v>1</v>
      </c>
      <c r="AD387" s="231">
        <f t="shared" si="301"/>
        <v>0</v>
      </c>
      <c r="AE387" s="231">
        <f t="shared" si="302"/>
        <v>1</v>
      </c>
      <c r="AF387" s="231">
        <f t="shared" si="303"/>
        <v>1</v>
      </c>
      <c r="AG387" s="231">
        <f t="shared" si="304"/>
        <v>1</v>
      </c>
      <c r="AH387" s="231">
        <f t="shared" si="305"/>
        <v>0</v>
      </c>
      <c r="AI387" s="231">
        <f t="shared" si="306"/>
        <v>1</v>
      </c>
      <c r="AJ387" s="231">
        <f t="shared" si="307"/>
        <v>1</v>
      </c>
      <c r="AK387" s="231">
        <f t="shared" si="308"/>
        <v>0</v>
      </c>
      <c r="AL387" s="231">
        <f t="shared" si="309"/>
        <v>0</v>
      </c>
      <c r="AM387" s="231">
        <f t="shared" si="310"/>
        <v>6</v>
      </c>
    </row>
    <row r="388" spans="4:39" x14ac:dyDescent="0.25">
      <c r="D388" s="231">
        <v>230</v>
      </c>
      <c r="E388" s="231" t="s">
        <v>72</v>
      </c>
      <c r="G388" s="231" t="s">
        <v>74</v>
      </c>
      <c r="H388" s="231" t="s">
        <v>69</v>
      </c>
      <c r="L388" s="231" t="s">
        <v>78</v>
      </c>
      <c r="M388" s="231" t="s">
        <v>515</v>
      </c>
      <c r="N388" s="231" t="s">
        <v>516</v>
      </c>
      <c r="O388" s="232" t="s">
        <v>517</v>
      </c>
      <c r="P388" s="231" t="s">
        <v>70</v>
      </c>
      <c r="R388" s="231" t="s">
        <v>568</v>
      </c>
      <c r="S388" s="231" t="s">
        <v>565</v>
      </c>
      <c r="T388" s="231" t="s">
        <v>566</v>
      </c>
      <c r="U388" s="231" t="s">
        <v>573</v>
      </c>
      <c r="V388" s="231" t="s">
        <v>575</v>
      </c>
      <c r="W388" s="231" t="s">
        <v>572</v>
      </c>
      <c r="X388" s="231" t="s">
        <v>570</v>
      </c>
      <c r="Y388" s="231" t="s">
        <v>571</v>
      </c>
      <c r="AA388" s="231">
        <f t="shared" si="298"/>
        <v>0</v>
      </c>
      <c r="AB388" s="231">
        <f t="shared" si="299"/>
        <v>0</v>
      </c>
      <c r="AC388" s="231">
        <f t="shared" si="300"/>
        <v>1</v>
      </c>
      <c r="AD388" s="231">
        <f t="shared" si="301"/>
        <v>1</v>
      </c>
      <c r="AE388" s="231">
        <f t="shared" si="302"/>
        <v>0</v>
      </c>
      <c r="AF388" s="231">
        <f t="shared" si="303"/>
        <v>0</v>
      </c>
      <c r="AG388" s="231">
        <f t="shared" si="304"/>
        <v>0</v>
      </c>
      <c r="AH388" s="231">
        <f t="shared" si="305"/>
        <v>0</v>
      </c>
      <c r="AI388" s="231">
        <f t="shared" si="306"/>
        <v>1</v>
      </c>
      <c r="AJ388" s="231">
        <f t="shared" si="307"/>
        <v>1</v>
      </c>
      <c r="AK388" s="231">
        <f t="shared" si="308"/>
        <v>0</v>
      </c>
      <c r="AL388" s="231">
        <f t="shared" si="309"/>
        <v>1</v>
      </c>
      <c r="AM388" s="231">
        <f t="shared" si="310"/>
        <v>5</v>
      </c>
    </row>
    <row r="389" spans="4:39" x14ac:dyDescent="0.25">
      <c r="D389" s="231">
        <v>231</v>
      </c>
      <c r="E389" s="231" t="s">
        <v>72</v>
      </c>
      <c r="G389" s="231" t="s">
        <v>74</v>
      </c>
      <c r="H389" s="231" t="s">
        <v>69</v>
      </c>
      <c r="K389" s="231" t="s">
        <v>77</v>
      </c>
      <c r="M389" s="231" t="s">
        <v>515</v>
      </c>
      <c r="N389" s="231" t="s">
        <v>516</v>
      </c>
      <c r="O389" s="232" t="s">
        <v>517</v>
      </c>
      <c r="P389" s="231" t="s">
        <v>70</v>
      </c>
      <c r="R389" s="231" t="s">
        <v>566</v>
      </c>
      <c r="S389" s="231" t="s">
        <v>569</v>
      </c>
      <c r="T389" s="231" t="s">
        <v>565</v>
      </c>
      <c r="U389" s="231" t="s">
        <v>573</v>
      </c>
      <c r="V389" s="231" t="s">
        <v>575</v>
      </c>
      <c r="W389" s="231" t="s">
        <v>572</v>
      </c>
      <c r="X389" s="231" t="s">
        <v>570</v>
      </c>
      <c r="Y389" s="231" t="s">
        <v>571</v>
      </c>
      <c r="AA389" s="231">
        <f t="shared" si="298"/>
        <v>0</v>
      </c>
      <c r="AB389" s="231">
        <f t="shared" si="299"/>
        <v>0</v>
      </c>
      <c r="AC389" s="231">
        <f t="shared" si="300"/>
        <v>1</v>
      </c>
      <c r="AD389" s="231">
        <f t="shared" si="301"/>
        <v>1</v>
      </c>
      <c r="AE389" s="231">
        <f t="shared" si="302"/>
        <v>0</v>
      </c>
      <c r="AF389" s="231">
        <f t="shared" si="303"/>
        <v>0</v>
      </c>
      <c r="AG389" s="231">
        <f t="shared" si="304"/>
        <v>1</v>
      </c>
      <c r="AH389" s="231">
        <f t="shared" si="305"/>
        <v>0</v>
      </c>
      <c r="AI389" s="231">
        <f t="shared" si="306"/>
        <v>1</v>
      </c>
      <c r="AJ389" s="231">
        <f t="shared" si="307"/>
        <v>1</v>
      </c>
      <c r="AK389" s="231">
        <f t="shared" si="308"/>
        <v>0</v>
      </c>
      <c r="AL389" s="231">
        <f t="shared" si="309"/>
        <v>1</v>
      </c>
      <c r="AM389" s="231">
        <f t="shared" si="310"/>
        <v>6</v>
      </c>
    </row>
    <row r="390" spans="4:39" x14ac:dyDescent="0.25">
      <c r="D390" s="231">
        <v>232</v>
      </c>
      <c r="E390" s="231" t="s">
        <v>72</v>
      </c>
      <c r="G390" s="231" t="s">
        <v>74</v>
      </c>
      <c r="H390" s="231" t="s">
        <v>69</v>
      </c>
      <c r="K390" s="231" t="s">
        <v>77</v>
      </c>
      <c r="L390" s="231" t="s">
        <v>78</v>
      </c>
      <c r="N390" s="231" t="s">
        <v>516</v>
      </c>
      <c r="O390" s="232" t="s">
        <v>517</v>
      </c>
      <c r="P390" s="231" t="s">
        <v>70</v>
      </c>
      <c r="R390" s="231" t="s">
        <v>568</v>
      </c>
      <c r="S390" s="231" t="s">
        <v>569</v>
      </c>
      <c r="T390" s="231" t="s">
        <v>565</v>
      </c>
      <c r="U390" s="231" t="s">
        <v>573</v>
      </c>
      <c r="V390" s="231" t="s">
        <v>575</v>
      </c>
      <c r="W390" s="231" t="s">
        <v>572</v>
      </c>
      <c r="X390" s="231" t="s">
        <v>570</v>
      </c>
      <c r="Y390" s="231" t="s">
        <v>571</v>
      </c>
      <c r="AA390" s="231">
        <f t="shared" si="298"/>
        <v>0</v>
      </c>
      <c r="AB390" s="231">
        <f t="shared" si="299"/>
        <v>0</v>
      </c>
      <c r="AC390" s="231">
        <f t="shared" si="300"/>
        <v>1</v>
      </c>
      <c r="AD390" s="231">
        <f t="shared" si="301"/>
        <v>1</v>
      </c>
      <c r="AE390" s="231">
        <f t="shared" si="302"/>
        <v>0</v>
      </c>
      <c r="AF390" s="231">
        <f t="shared" si="303"/>
        <v>0</v>
      </c>
      <c r="AG390" s="231">
        <f t="shared" si="304"/>
        <v>1</v>
      </c>
      <c r="AH390" s="231">
        <f t="shared" si="305"/>
        <v>0</v>
      </c>
      <c r="AI390" s="231">
        <f t="shared" si="306"/>
        <v>0</v>
      </c>
      <c r="AJ390" s="231">
        <f t="shared" si="307"/>
        <v>1</v>
      </c>
      <c r="AK390" s="231">
        <f t="shared" si="308"/>
        <v>0</v>
      </c>
      <c r="AL390" s="231">
        <f t="shared" si="309"/>
        <v>1</v>
      </c>
      <c r="AM390" s="231">
        <f t="shared" si="310"/>
        <v>5</v>
      </c>
    </row>
    <row r="391" spans="4:39" x14ac:dyDescent="0.25">
      <c r="D391" s="231">
        <v>233</v>
      </c>
      <c r="E391" s="231" t="s">
        <v>72</v>
      </c>
      <c r="G391" s="231" t="s">
        <v>74</v>
      </c>
      <c r="H391" s="231" t="s">
        <v>69</v>
      </c>
      <c r="K391" s="231" t="s">
        <v>77</v>
      </c>
      <c r="L391" s="231" t="s">
        <v>78</v>
      </c>
      <c r="M391" s="231" t="s">
        <v>515</v>
      </c>
      <c r="O391" s="232" t="s">
        <v>517</v>
      </c>
      <c r="P391" s="231" t="s">
        <v>70</v>
      </c>
      <c r="R391" s="231" t="s">
        <v>568</v>
      </c>
      <c r="S391" s="231" t="s">
        <v>569</v>
      </c>
      <c r="T391" s="231" t="s">
        <v>566</v>
      </c>
      <c r="U391" s="231" t="s">
        <v>573</v>
      </c>
      <c r="V391" s="231" t="s">
        <v>575</v>
      </c>
      <c r="W391" s="231" t="s">
        <v>572</v>
      </c>
      <c r="X391" s="231" t="s">
        <v>570</v>
      </c>
      <c r="Y391" s="231" t="s">
        <v>571</v>
      </c>
      <c r="AA391" s="231">
        <f t="shared" si="298"/>
        <v>0</v>
      </c>
      <c r="AB391" s="231">
        <f t="shared" si="299"/>
        <v>0</v>
      </c>
      <c r="AC391" s="231">
        <f t="shared" si="300"/>
        <v>1</v>
      </c>
      <c r="AD391" s="231">
        <f t="shared" si="301"/>
        <v>1</v>
      </c>
      <c r="AE391" s="231">
        <f t="shared" si="302"/>
        <v>0</v>
      </c>
      <c r="AF391" s="231">
        <f t="shared" si="303"/>
        <v>0</v>
      </c>
      <c r="AG391" s="231">
        <f t="shared" si="304"/>
        <v>1</v>
      </c>
      <c r="AH391" s="231">
        <f t="shared" si="305"/>
        <v>0</v>
      </c>
      <c r="AI391" s="231">
        <f t="shared" si="306"/>
        <v>1</v>
      </c>
      <c r="AJ391" s="231">
        <f t="shared" si="307"/>
        <v>0</v>
      </c>
      <c r="AK391" s="231">
        <f t="shared" si="308"/>
        <v>0</v>
      </c>
      <c r="AL391" s="231">
        <f t="shared" si="309"/>
        <v>1</v>
      </c>
      <c r="AM391" s="231">
        <f t="shared" si="310"/>
        <v>5</v>
      </c>
    </row>
    <row r="392" spans="4:39" x14ac:dyDescent="0.25">
      <c r="D392" s="231">
        <v>234</v>
      </c>
      <c r="E392" s="231" t="s">
        <v>72</v>
      </c>
      <c r="G392" s="231" t="s">
        <v>74</v>
      </c>
      <c r="H392" s="231" t="s">
        <v>69</v>
      </c>
      <c r="K392" s="231" t="s">
        <v>77</v>
      </c>
      <c r="L392" s="231" t="s">
        <v>78</v>
      </c>
      <c r="M392" s="231" t="s">
        <v>515</v>
      </c>
      <c r="N392" s="231" t="s">
        <v>516</v>
      </c>
      <c r="P392" s="231" t="s">
        <v>70</v>
      </c>
      <c r="R392" s="231" t="s">
        <v>568</v>
      </c>
      <c r="S392" s="231" t="s">
        <v>569</v>
      </c>
      <c r="T392" s="231" t="s">
        <v>565</v>
      </c>
      <c r="U392" s="231" t="s">
        <v>573</v>
      </c>
      <c r="V392" s="231" t="s">
        <v>575</v>
      </c>
      <c r="W392" s="231" t="s">
        <v>572</v>
      </c>
      <c r="X392" s="231" t="s">
        <v>570</v>
      </c>
      <c r="Y392" s="231" t="s">
        <v>566</v>
      </c>
      <c r="AA392" s="231">
        <f t="shared" si="298"/>
        <v>0</v>
      </c>
      <c r="AB392" s="231">
        <f t="shared" si="299"/>
        <v>0</v>
      </c>
      <c r="AC392" s="231">
        <f t="shared" si="300"/>
        <v>1</v>
      </c>
      <c r="AD392" s="231">
        <f t="shared" si="301"/>
        <v>1</v>
      </c>
      <c r="AE392" s="231">
        <f t="shared" si="302"/>
        <v>0</v>
      </c>
      <c r="AF392" s="231">
        <f t="shared" si="303"/>
        <v>0</v>
      </c>
      <c r="AG392" s="231">
        <f t="shared" si="304"/>
        <v>1</v>
      </c>
      <c r="AH392" s="231">
        <f t="shared" si="305"/>
        <v>0</v>
      </c>
      <c r="AI392" s="231">
        <f t="shared" si="306"/>
        <v>1</v>
      </c>
      <c r="AJ392" s="231">
        <f t="shared" si="307"/>
        <v>1</v>
      </c>
      <c r="AK392" s="231">
        <f t="shared" si="308"/>
        <v>0</v>
      </c>
      <c r="AL392" s="231">
        <f t="shared" si="309"/>
        <v>1</v>
      </c>
      <c r="AM392" s="231">
        <f t="shared" si="310"/>
        <v>6</v>
      </c>
    </row>
    <row r="393" spans="4:39" x14ac:dyDescent="0.25">
      <c r="D393" s="231">
        <v>235</v>
      </c>
      <c r="E393" s="231" t="s">
        <v>72</v>
      </c>
      <c r="G393" s="231" t="s">
        <v>74</v>
      </c>
      <c r="H393" s="231" t="s">
        <v>69</v>
      </c>
      <c r="K393" s="231" t="s">
        <v>77</v>
      </c>
      <c r="L393" s="231" t="s">
        <v>78</v>
      </c>
      <c r="M393" s="231" t="s">
        <v>515</v>
      </c>
      <c r="N393" s="231" t="s">
        <v>516</v>
      </c>
      <c r="O393" s="232" t="s">
        <v>517</v>
      </c>
      <c r="R393" s="231" t="s">
        <v>568</v>
      </c>
      <c r="S393" s="231" t="s">
        <v>569</v>
      </c>
      <c r="T393" s="231" t="s">
        <v>565</v>
      </c>
      <c r="U393" s="231" t="s">
        <v>573</v>
      </c>
      <c r="V393" s="231" t="s">
        <v>575</v>
      </c>
      <c r="W393" s="231" t="s">
        <v>572</v>
      </c>
      <c r="X393" s="231" t="s">
        <v>566</v>
      </c>
      <c r="Y393" s="231" t="s">
        <v>571</v>
      </c>
      <c r="AA393" s="231">
        <f t="shared" si="298"/>
        <v>0</v>
      </c>
      <c r="AB393" s="231">
        <f t="shared" si="299"/>
        <v>0</v>
      </c>
      <c r="AC393" s="231">
        <f t="shared" si="300"/>
        <v>1</v>
      </c>
      <c r="AD393" s="231">
        <f t="shared" si="301"/>
        <v>1</v>
      </c>
      <c r="AE393" s="231">
        <f t="shared" si="302"/>
        <v>0</v>
      </c>
      <c r="AF393" s="231">
        <f t="shared" si="303"/>
        <v>0</v>
      </c>
      <c r="AG393" s="231">
        <f t="shared" si="304"/>
        <v>1</v>
      </c>
      <c r="AH393" s="231">
        <f t="shared" si="305"/>
        <v>0</v>
      </c>
      <c r="AI393" s="231">
        <f t="shared" si="306"/>
        <v>1</v>
      </c>
      <c r="AJ393" s="231">
        <f t="shared" si="307"/>
        <v>1</v>
      </c>
      <c r="AK393" s="231">
        <f t="shared" si="308"/>
        <v>0</v>
      </c>
      <c r="AL393" s="231">
        <f t="shared" si="309"/>
        <v>0</v>
      </c>
      <c r="AM393" s="231">
        <f t="shared" si="310"/>
        <v>5</v>
      </c>
    </row>
    <row r="394" spans="4:39" x14ac:dyDescent="0.25">
      <c r="D394" s="231">
        <v>236</v>
      </c>
      <c r="E394" s="231" t="s">
        <v>72</v>
      </c>
      <c r="G394" s="231" t="s">
        <v>74</v>
      </c>
      <c r="H394" s="231" t="s">
        <v>69</v>
      </c>
      <c r="J394" s="231" t="s">
        <v>75</v>
      </c>
      <c r="M394" s="231" t="s">
        <v>515</v>
      </c>
      <c r="N394" s="231" t="s">
        <v>516</v>
      </c>
      <c r="O394" s="232" t="s">
        <v>517</v>
      </c>
      <c r="P394" s="231" t="s">
        <v>70</v>
      </c>
      <c r="R394" s="231" t="s">
        <v>573</v>
      </c>
      <c r="S394" s="231" t="s">
        <v>565</v>
      </c>
      <c r="T394" s="231" t="s">
        <v>566</v>
      </c>
      <c r="U394" s="231" t="s">
        <v>572</v>
      </c>
      <c r="V394" s="231" t="s">
        <v>575</v>
      </c>
      <c r="W394" s="231" t="s">
        <v>567</v>
      </c>
      <c r="X394" s="231" t="s">
        <v>570</v>
      </c>
      <c r="Y394" s="231" t="s">
        <v>571</v>
      </c>
      <c r="AA394" s="231">
        <f t="shared" si="298"/>
        <v>0</v>
      </c>
      <c r="AB394" s="231">
        <f t="shared" si="299"/>
        <v>0</v>
      </c>
      <c r="AC394" s="231">
        <f t="shared" si="300"/>
        <v>1</v>
      </c>
      <c r="AD394" s="231">
        <f t="shared" si="301"/>
        <v>1</v>
      </c>
      <c r="AE394" s="231">
        <f t="shared" si="302"/>
        <v>0</v>
      </c>
      <c r="AF394" s="231">
        <f t="shared" si="303"/>
        <v>1</v>
      </c>
      <c r="AG394" s="231">
        <f t="shared" si="304"/>
        <v>0</v>
      </c>
      <c r="AH394" s="231">
        <f t="shared" si="305"/>
        <v>0</v>
      </c>
      <c r="AI394" s="231">
        <f t="shared" si="306"/>
        <v>1</v>
      </c>
      <c r="AJ394" s="231">
        <f t="shared" si="307"/>
        <v>1</v>
      </c>
      <c r="AK394" s="231">
        <f t="shared" si="308"/>
        <v>0</v>
      </c>
      <c r="AL394" s="231">
        <f t="shared" si="309"/>
        <v>1</v>
      </c>
      <c r="AM394" s="231">
        <f t="shared" si="310"/>
        <v>6</v>
      </c>
    </row>
    <row r="395" spans="4:39" x14ac:dyDescent="0.25">
      <c r="D395" s="231">
        <v>237</v>
      </c>
      <c r="E395" s="231" t="s">
        <v>72</v>
      </c>
      <c r="G395" s="231" t="s">
        <v>74</v>
      </c>
      <c r="H395" s="231" t="s">
        <v>69</v>
      </c>
      <c r="J395" s="231" t="s">
        <v>75</v>
      </c>
      <c r="L395" s="231" t="s">
        <v>78</v>
      </c>
      <c r="N395" s="231" t="s">
        <v>516</v>
      </c>
      <c r="O395" s="232" t="s">
        <v>517</v>
      </c>
      <c r="P395" s="231" t="s">
        <v>70</v>
      </c>
      <c r="R395" s="231" t="s">
        <v>568</v>
      </c>
      <c r="S395" s="231" t="s">
        <v>565</v>
      </c>
      <c r="T395" s="231" t="s">
        <v>567</v>
      </c>
      <c r="U395" s="231" t="s">
        <v>573</v>
      </c>
      <c r="V395" s="231" t="s">
        <v>575</v>
      </c>
      <c r="W395" s="231" t="s">
        <v>572</v>
      </c>
      <c r="X395" s="231" t="s">
        <v>570</v>
      </c>
      <c r="Y395" s="231" t="s">
        <v>571</v>
      </c>
      <c r="AA395" s="231">
        <f t="shared" si="298"/>
        <v>0</v>
      </c>
      <c r="AB395" s="231">
        <f t="shared" si="299"/>
        <v>0</v>
      </c>
      <c r="AC395" s="231">
        <f t="shared" si="300"/>
        <v>1</v>
      </c>
      <c r="AD395" s="231">
        <f t="shared" si="301"/>
        <v>1</v>
      </c>
      <c r="AE395" s="231">
        <f t="shared" si="302"/>
        <v>0</v>
      </c>
      <c r="AF395" s="231">
        <f t="shared" si="303"/>
        <v>1</v>
      </c>
      <c r="AG395" s="231">
        <f t="shared" si="304"/>
        <v>0</v>
      </c>
      <c r="AH395" s="231">
        <f t="shared" si="305"/>
        <v>0</v>
      </c>
      <c r="AI395" s="231">
        <f t="shared" si="306"/>
        <v>0</v>
      </c>
      <c r="AJ395" s="231">
        <f t="shared" si="307"/>
        <v>1</v>
      </c>
      <c r="AK395" s="231">
        <f t="shared" si="308"/>
        <v>0</v>
      </c>
      <c r="AL395" s="231">
        <f t="shared" si="309"/>
        <v>1</v>
      </c>
      <c r="AM395" s="231">
        <f t="shared" si="310"/>
        <v>5</v>
      </c>
    </row>
    <row r="396" spans="4:39" x14ac:dyDescent="0.25">
      <c r="D396" s="231">
        <v>238</v>
      </c>
      <c r="E396" s="231" t="s">
        <v>72</v>
      </c>
      <c r="G396" s="231" t="s">
        <v>74</v>
      </c>
      <c r="H396" s="231" t="s">
        <v>69</v>
      </c>
      <c r="J396" s="231" t="s">
        <v>75</v>
      </c>
      <c r="L396" s="231" t="s">
        <v>78</v>
      </c>
      <c r="M396" s="231" t="s">
        <v>515</v>
      </c>
      <c r="O396" s="232" t="s">
        <v>517</v>
      </c>
      <c r="P396" s="231" t="s">
        <v>70</v>
      </c>
      <c r="R396" s="231" t="s">
        <v>568</v>
      </c>
      <c r="S396" s="231" t="s">
        <v>567</v>
      </c>
      <c r="T396" s="231" t="s">
        <v>566</v>
      </c>
      <c r="U396" s="231" t="s">
        <v>573</v>
      </c>
      <c r="V396" s="231" t="s">
        <v>575</v>
      </c>
      <c r="W396" s="231" t="s">
        <v>572</v>
      </c>
      <c r="X396" s="231" t="s">
        <v>570</v>
      </c>
      <c r="Y396" s="231" t="s">
        <v>571</v>
      </c>
      <c r="AA396" s="231">
        <f t="shared" si="298"/>
        <v>0</v>
      </c>
      <c r="AB396" s="231">
        <f t="shared" si="299"/>
        <v>0</v>
      </c>
      <c r="AC396" s="231">
        <f t="shared" si="300"/>
        <v>1</v>
      </c>
      <c r="AD396" s="231">
        <f t="shared" si="301"/>
        <v>1</v>
      </c>
      <c r="AE396" s="231">
        <f t="shared" si="302"/>
        <v>0</v>
      </c>
      <c r="AF396" s="231">
        <f t="shared" si="303"/>
        <v>1</v>
      </c>
      <c r="AG396" s="231">
        <f t="shared" si="304"/>
        <v>0</v>
      </c>
      <c r="AH396" s="231">
        <f t="shared" si="305"/>
        <v>0</v>
      </c>
      <c r="AI396" s="231">
        <f t="shared" si="306"/>
        <v>1</v>
      </c>
      <c r="AJ396" s="231">
        <f t="shared" si="307"/>
        <v>0</v>
      </c>
      <c r="AK396" s="231">
        <f t="shared" si="308"/>
        <v>0</v>
      </c>
      <c r="AL396" s="231">
        <f t="shared" si="309"/>
        <v>1</v>
      </c>
      <c r="AM396" s="231">
        <f t="shared" si="310"/>
        <v>5</v>
      </c>
    </row>
    <row r="397" spans="4:39" x14ac:dyDescent="0.25">
      <c r="D397" s="231">
        <v>239</v>
      </c>
      <c r="E397" s="231" t="s">
        <v>72</v>
      </c>
      <c r="G397" s="231" t="s">
        <v>74</v>
      </c>
      <c r="H397" s="231" t="s">
        <v>69</v>
      </c>
      <c r="J397" s="231" t="s">
        <v>75</v>
      </c>
      <c r="L397" s="231" t="s">
        <v>78</v>
      </c>
      <c r="M397" s="231" t="s">
        <v>515</v>
      </c>
      <c r="N397" s="231" t="s">
        <v>516</v>
      </c>
      <c r="P397" s="231" t="s">
        <v>70</v>
      </c>
      <c r="R397" s="231" t="s">
        <v>568</v>
      </c>
      <c r="S397" s="231" t="s">
        <v>565</v>
      </c>
      <c r="T397" s="231" t="s">
        <v>567</v>
      </c>
      <c r="U397" s="231" t="s">
        <v>573</v>
      </c>
      <c r="V397" s="231" t="s">
        <v>575</v>
      </c>
      <c r="W397" s="231" t="s">
        <v>572</v>
      </c>
      <c r="X397" s="231" t="s">
        <v>570</v>
      </c>
      <c r="Y397" s="231" t="s">
        <v>566</v>
      </c>
      <c r="AA397" s="231">
        <f t="shared" si="298"/>
        <v>0</v>
      </c>
      <c r="AB397" s="231">
        <f t="shared" si="299"/>
        <v>0</v>
      </c>
      <c r="AC397" s="231">
        <f t="shared" si="300"/>
        <v>1</v>
      </c>
      <c r="AD397" s="231">
        <f t="shared" si="301"/>
        <v>1</v>
      </c>
      <c r="AE397" s="231">
        <f t="shared" si="302"/>
        <v>0</v>
      </c>
      <c r="AF397" s="231">
        <f t="shared" si="303"/>
        <v>1</v>
      </c>
      <c r="AG397" s="231">
        <f t="shared" si="304"/>
        <v>0</v>
      </c>
      <c r="AH397" s="231">
        <f t="shared" si="305"/>
        <v>0</v>
      </c>
      <c r="AI397" s="231">
        <f t="shared" si="306"/>
        <v>1</v>
      </c>
      <c r="AJ397" s="231">
        <f t="shared" si="307"/>
        <v>1</v>
      </c>
      <c r="AK397" s="231">
        <f t="shared" si="308"/>
        <v>0</v>
      </c>
      <c r="AL397" s="231">
        <f t="shared" si="309"/>
        <v>1</v>
      </c>
      <c r="AM397" s="231">
        <f t="shared" si="310"/>
        <v>6</v>
      </c>
    </row>
    <row r="398" spans="4:39" x14ac:dyDescent="0.25">
      <c r="D398" s="231">
        <v>240</v>
      </c>
      <c r="E398" s="231" t="s">
        <v>72</v>
      </c>
      <c r="G398" s="231" t="s">
        <v>74</v>
      </c>
      <c r="H398" s="231" t="s">
        <v>69</v>
      </c>
      <c r="J398" s="231" t="s">
        <v>75</v>
      </c>
      <c r="L398" s="231" t="s">
        <v>78</v>
      </c>
      <c r="M398" s="231" t="s">
        <v>515</v>
      </c>
      <c r="N398" s="231" t="s">
        <v>516</v>
      </c>
      <c r="O398" s="232" t="s">
        <v>517</v>
      </c>
      <c r="R398" s="231" t="s">
        <v>568</v>
      </c>
      <c r="S398" s="231" t="s">
        <v>565</v>
      </c>
      <c r="T398" s="231" t="s">
        <v>567</v>
      </c>
      <c r="U398" s="231" t="s">
        <v>573</v>
      </c>
      <c r="V398" s="231" t="s">
        <v>575</v>
      </c>
      <c r="W398" s="231" t="s">
        <v>572</v>
      </c>
      <c r="X398" s="231" t="s">
        <v>566</v>
      </c>
      <c r="Y398" s="231" t="s">
        <v>571</v>
      </c>
      <c r="AA398" s="231">
        <f t="shared" si="298"/>
        <v>0</v>
      </c>
      <c r="AB398" s="231">
        <f t="shared" si="299"/>
        <v>0</v>
      </c>
      <c r="AC398" s="231">
        <f t="shared" si="300"/>
        <v>1</v>
      </c>
      <c r="AD398" s="231">
        <f t="shared" si="301"/>
        <v>1</v>
      </c>
      <c r="AE398" s="231">
        <f t="shared" si="302"/>
        <v>0</v>
      </c>
      <c r="AF398" s="231">
        <f t="shared" si="303"/>
        <v>1</v>
      </c>
      <c r="AG398" s="231">
        <f t="shared" si="304"/>
        <v>0</v>
      </c>
      <c r="AH398" s="231">
        <f t="shared" si="305"/>
        <v>0</v>
      </c>
      <c r="AI398" s="231">
        <f t="shared" si="306"/>
        <v>1</v>
      </c>
      <c r="AJ398" s="231">
        <f t="shared" si="307"/>
        <v>1</v>
      </c>
      <c r="AK398" s="231">
        <f t="shared" si="308"/>
        <v>0</v>
      </c>
      <c r="AL398" s="231">
        <f t="shared" si="309"/>
        <v>0</v>
      </c>
      <c r="AM398" s="231">
        <f t="shared" si="310"/>
        <v>5</v>
      </c>
    </row>
    <row r="399" spans="4:39" x14ac:dyDescent="0.25">
      <c r="D399" s="231">
        <v>241</v>
      </c>
      <c r="E399" s="231" t="s">
        <v>72</v>
      </c>
      <c r="G399" s="231" t="s">
        <v>74</v>
      </c>
      <c r="H399" s="231" t="s">
        <v>69</v>
      </c>
      <c r="J399" s="231" t="s">
        <v>75</v>
      </c>
      <c r="K399" s="231" t="s">
        <v>77</v>
      </c>
      <c r="N399" s="231" t="s">
        <v>516</v>
      </c>
      <c r="O399" s="232" t="s">
        <v>517</v>
      </c>
      <c r="P399" s="231" t="s">
        <v>70</v>
      </c>
      <c r="R399" s="231" t="s">
        <v>573</v>
      </c>
      <c r="S399" s="231" t="s">
        <v>569</v>
      </c>
      <c r="T399" s="231" t="s">
        <v>565</v>
      </c>
      <c r="U399" s="231" t="s">
        <v>572</v>
      </c>
      <c r="V399" s="231" t="s">
        <v>575</v>
      </c>
      <c r="W399" s="231" t="s">
        <v>567</v>
      </c>
      <c r="X399" s="231" t="s">
        <v>570</v>
      </c>
      <c r="Y399" s="231" t="s">
        <v>571</v>
      </c>
      <c r="AA399" s="231">
        <f t="shared" si="298"/>
        <v>0</v>
      </c>
      <c r="AB399" s="231">
        <f t="shared" si="299"/>
        <v>0</v>
      </c>
      <c r="AC399" s="231">
        <f t="shared" si="300"/>
        <v>1</v>
      </c>
      <c r="AD399" s="231">
        <f t="shared" si="301"/>
        <v>1</v>
      </c>
      <c r="AE399" s="231">
        <f t="shared" si="302"/>
        <v>0</v>
      </c>
      <c r="AF399" s="231">
        <f t="shared" si="303"/>
        <v>1</v>
      </c>
      <c r="AG399" s="231">
        <f t="shared" si="304"/>
        <v>1</v>
      </c>
      <c r="AH399" s="231">
        <f t="shared" si="305"/>
        <v>0</v>
      </c>
      <c r="AI399" s="231">
        <f t="shared" si="306"/>
        <v>0</v>
      </c>
      <c r="AJ399" s="231">
        <f t="shared" si="307"/>
        <v>1</v>
      </c>
      <c r="AK399" s="231">
        <f t="shared" si="308"/>
        <v>0</v>
      </c>
      <c r="AL399" s="231">
        <f t="shared" si="309"/>
        <v>1</v>
      </c>
      <c r="AM399" s="231">
        <f t="shared" si="310"/>
        <v>6</v>
      </c>
    </row>
    <row r="400" spans="4:39" x14ac:dyDescent="0.25">
      <c r="D400" s="231">
        <v>242</v>
      </c>
      <c r="E400" s="231" t="s">
        <v>72</v>
      </c>
      <c r="G400" s="231" t="s">
        <v>74</v>
      </c>
      <c r="H400" s="231" t="s">
        <v>69</v>
      </c>
      <c r="J400" s="231" t="s">
        <v>75</v>
      </c>
      <c r="K400" s="231" t="s">
        <v>77</v>
      </c>
      <c r="M400" s="231" t="s">
        <v>515</v>
      </c>
      <c r="O400" s="232" t="s">
        <v>517</v>
      </c>
      <c r="P400" s="231" t="s">
        <v>70</v>
      </c>
      <c r="R400" s="231" t="s">
        <v>573</v>
      </c>
      <c r="S400" s="231" t="s">
        <v>569</v>
      </c>
      <c r="T400" s="231" t="s">
        <v>566</v>
      </c>
      <c r="U400" s="231" t="s">
        <v>572</v>
      </c>
      <c r="V400" s="231" t="s">
        <v>575</v>
      </c>
      <c r="W400" s="231" t="s">
        <v>567</v>
      </c>
      <c r="X400" s="231" t="s">
        <v>570</v>
      </c>
      <c r="Y400" s="231" t="s">
        <v>571</v>
      </c>
      <c r="AA400" s="231">
        <f t="shared" si="298"/>
        <v>0</v>
      </c>
      <c r="AB400" s="231">
        <f t="shared" si="299"/>
        <v>0</v>
      </c>
      <c r="AC400" s="231">
        <f t="shared" si="300"/>
        <v>1</v>
      </c>
      <c r="AD400" s="231">
        <f t="shared" si="301"/>
        <v>1</v>
      </c>
      <c r="AE400" s="231">
        <f t="shared" si="302"/>
        <v>0</v>
      </c>
      <c r="AF400" s="231">
        <f t="shared" si="303"/>
        <v>1</v>
      </c>
      <c r="AG400" s="231">
        <f t="shared" si="304"/>
        <v>1</v>
      </c>
      <c r="AH400" s="231">
        <f t="shared" si="305"/>
        <v>0</v>
      </c>
      <c r="AI400" s="231">
        <f t="shared" si="306"/>
        <v>1</v>
      </c>
      <c r="AJ400" s="231">
        <f t="shared" si="307"/>
        <v>0</v>
      </c>
      <c r="AK400" s="231">
        <f t="shared" si="308"/>
        <v>0</v>
      </c>
      <c r="AL400" s="231">
        <f t="shared" si="309"/>
        <v>1</v>
      </c>
      <c r="AM400" s="231">
        <f t="shared" si="310"/>
        <v>6</v>
      </c>
    </row>
    <row r="401" spans="4:39" x14ac:dyDescent="0.25">
      <c r="D401" s="231">
        <v>243</v>
      </c>
      <c r="E401" s="231" t="s">
        <v>72</v>
      </c>
      <c r="G401" s="231" t="s">
        <v>74</v>
      </c>
      <c r="H401" s="231" t="s">
        <v>69</v>
      </c>
      <c r="J401" s="231" t="s">
        <v>75</v>
      </c>
      <c r="K401" s="231" t="s">
        <v>77</v>
      </c>
      <c r="M401" s="231" t="s">
        <v>515</v>
      </c>
      <c r="N401" s="231" t="s">
        <v>516</v>
      </c>
      <c r="P401" s="231" t="s">
        <v>70</v>
      </c>
      <c r="R401" s="231" t="s">
        <v>573</v>
      </c>
      <c r="S401" s="231" t="s">
        <v>569</v>
      </c>
      <c r="T401" s="231" t="s">
        <v>565</v>
      </c>
      <c r="U401" s="231" t="s">
        <v>572</v>
      </c>
      <c r="V401" s="231" t="s">
        <v>575</v>
      </c>
      <c r="W401" s="231" t="s">
        <v>567</v>
      </c>
      <c r="X401" s="231" t="s">
        <v>570</v>
      </c>
      <c r="Y401" s="231" t="s">
        <v>566</v>
      </c>
      <c r="AA401" s="231">
        <f t="shared" si="298"/>
        <v>0</v>
      </c>
      <c r="AB401" s="231">
        <f t="shared" si="299"/>
        <v>0</v>
      </c>
      <c r="AC401" s="231">
        <f t="shared" si="300"/>
        <v>1</v>
      </c>
      <c r="AD401" s="231">
        <f t="shared" si="301"/>
        <v>1</v>
      </c>
      <c r="AE401" s="231">
        <f t="shared" si="302"/>
        <v>0</v>
      </c>
      <c r="AF401" s="231">
        <f t="shared" si="303"/>
        <v>1</v>
      </c>
      <c r="AG401" s="231">
        <f t="shared" si="304"/>
        <v>1</v>
      </c>
      <c r="AH401" s="231">
        <f t="shared" si="305"/>
        <v>0</v>
      </c>
      <c r="AI401" s="231">
        <f t="shared" si="306"/>
        <v>1</v>
      </c>
      <c r="AJ401" s="231">
        <f t="shared" si="307"/>
        <v>1</v>
      </c>
      <c r="AK401" s="231">
        <f t="shared" si="308"/>
        <v>0</v>
      </c>
      <c r="AL401" s="231">
        <f t="shared" si="309"/>
        <v>1</v>
      </c>
      <c r="AM401" s="231">
        <f t="shared" si="310"/>
        <v>7</v>
      </c>
    </row>
    <row r="402" spans="4:39" x14ac:dyDescent="0.25">
      <c r="D402" s="231">
        <v>244</v>
      </c>
      <c r="E402" s="231" t="s">
        <v>72</v>
      </c>
      <c r="G402" s="231" t="s">
        <v>74</v>
      </c>
      <c r="H402" s="231" t="s">
        <v>69</v>
      </c>
      <c r="J402" s="231" t="s">
        <v>75</v>
      </c>
      <c r="K402" s="231" t="s">
        <v>77</v>
      </c>
      <c r="M402" s="231" t="s">
        <v>515</v>
      </c>
      <c r="N402" s="231" t="s">
        <v>516</v>
      </c>
      <c r="O402" s="232" t="s">
        <v>517</v>
      </c>
      <c r="R402" s="231" t="s">
        <v>573</v>
      </c>
      <c r="S402" s="231" t="s">
        <v>569</v>
      </c>
      <c r="T402" s="231" t="s">
        <v>565</v>
      </c>
      <c r="U402" s="231" t="s">
        <v>572</v>
      </c>
      <c r="V402" s="231" t="s">
        <v>575</v>
      </c>
      <c r="W402" s="231" t="s">
        <v>567</v>
      </c>
      <c r="X402" s="231" t="s">
        <v>566</v>
      </c>
      <c r="Y402" s="231" t="s">
        <v>571</v>
      </c>
      <c r="AA402" s="231">
        <f t="shared" si="298"/>
        <v>0</v>
      </c>
      <c r="AB402" s="231">
        <f t="shared" si="299"/>
        <v>0</v>
      </c>
      <c r="AC402" s="231">
        <f t="shared" si="300"/>
        <v>1</v>
      </c>
      <c r="AD402" s="231">
        <f t="shared" si="301"/>
        <v>1</v>
      </c>
      <c r="AE402" s="231">
        <f t="shared" si="302"/>
        <v>0</v>
      </c>
      <c r="AF402" s="231">
        <f t="shared" si="303"/>
        <v>1</v>
      </c>
      <c r="AG402" s="231">
        <f t="shared" si="304"/>
        <v>1</v>
      </c>
      <c r="AH402" s="231">
        <f t="shared" si="305"/>
        <v>0</v>
      </c>
      <c r="AI402" s="231">
        <f t="shared" si="306"/>
        <v>1</v>
      </c>
      <c r="AJ402" s="231">
        <f t="shared" si="307"/>
        <v>1</v>
      </c>
      <c r="AK402" s="231">
        <f t="shared" si="308"/>
        <v>0</v>
      </c>
      <c r="AL402" s="231">
        <f t="shared" si="309"/>
        <v>0</v>
      </c>
      <c r="AM402" s="231">
        <f t="shared" si="310"/>
        <v>6</v>
      </c>
    </row>
    <row r="403" spans="4:39" x14ac:dyDescent="0.25">
      <c r="D403" s="231">
        <v>245</v>
      </c>
      <c r="E403" s="231" t="s">
        <v>72</v>
      </c>
      <c r="G403" s="231" t="s">
        <v>74</v>
      </c>
      <c r="H403" s="231" t="s">
        <v>69</v>
      </c>
      <c r="J403" s="231" t="s">
        <v>75</v>
      </c>
      <c r="K403" s="231" t="s">
        <v>77</v>
      </c>
      <c r="L403" s="231" t="s">
        <v>78</v>
      </c>
      <c r="O403" s="232" t="s">
        <v>517</v>
      </c>
      <c r="P403" s="231" t="s">
        <v>70</v>
      </c>
      <c r="R403" s="231" t="s">
        <v>568</v>
      </c>
      <c r="S403" s="231" t="s">
        <v>569</v>
      </c>
      <c r="T403" s="231" t="s">
        <v>567</v>
      </c>
      <c r="U403" s="231" t="s">
        <v>573</v>
      </c>
      <c r="V403" s="231" t="s">
        <v>575</v>
      </c>
      <c r="W403" s="231" t="s">
        <v>572</v>
      </c>
      <c r="X403" s="231" t="s">
        <v>570</v>
      </c>
      <c r="Y403" s="231" t="s">
        <v>571</v>
      </c>
      <c r="AA403" s="231">
        <f t="shared" si="298"/>
        <v>0</v>
      </c>
      <c r="AB403" s="231">
        <f t="shared" si="299"/>
        <v>0</v>
      </c>
      <c r="AC403" s="231">
        <f t="shared" si="300"/>
        <v>1</v>
      </c>
      <c r="AD403" s="231">
        <f t="shared" si="301"/>
        <v>1</v>
      </c>
      <c r="AE403" s="231">
        <f t="shared" si="302"/>
        <v>0</v>
      </c>
      <c r="AF403" s="231">
        <f t="shared" si="303"/>
        <v>1</v>
      </c>
      <c r="AG403" s="231">
        <f t="shared" si="304"/>
        <v>1</v>
      </c>
      <c r="AH403" s="231">
        <f t="shared" si="305"/>
        <v>0</v>
      </c>
      <c r="AI403" s="231">
        <f t="shared" si="306"/>
        <v>0</v>
      </c>
      <c r="AJ403" s="231">
        <f t="shared" si="307"/>
        <v>0</v>
      </c>
      <c r="AK403" s="231">
        <f t="shared" si="308"/>
        <v>0</v>
      </c>
      <c r="AL403" s="231">
        <f t="shared" si="309"/>
        <v>1</v>
      </c>
      <c r="AM403" s="231">
        <f t="shared" si="310"/>
        <v>5</v>
      </c>
    </row>
    <row r="404" spans="4:39" x14ac:dyDescent="0.25">
      <c r="D404" s="231">
        <v>246</v>
      </c>
      <c r="E404" s="231" t="s">
        <v>72</v>
      </c>
      <c r="G404" s="231" t="s">
        <v>74</v>
      </c>
      <c r="H404" s="231" t="s">
        <v>69</v>
      </c>
      <c r="J404" s="231" t="s">
        <v>75</v>
      </c>
      <c r="K404" s="231" t="s">
        <v>77</v>
      </c>
      <c r="L404" s="231" t="s">
        <v>78</v>
      </c>
      <c r="N404" s="231" t="s">
        <v>516</v>
      </c>
      <c r="P404" s="231" t="s">
        <v>70</v>
      </c>
      <c r="R404" s="231" t="s">
        <v>573</v>
      </c>
      <c r="S404" s="231" t="s">
        <v>569</v>
      </c>
      <c r="T404" s="231" t="s">
        <v>565</v>
      </c>
      <c r="U404" s="231" t="s">
        <v>572</v>
      </c>
      <c r="V404" s="231" t="s">
        <v>575</v>
      </c>
      <c r="W404" s="231" t="s">
        <v>567</v>
      </c>
      <c r="X404" s="231" t="s">
        <v>570</v>
      </c>
      <c r="Y404" s="231" t="s">
        <v>568</v>
      </c>
      <c r="AA404" s="231">
        <f t="shared" si="298"/>
        <v>0</v>
      </c>
      <c r="AB404" s="231">
        <f t="shared" si="299"/>
        <v>0</v>
      </c>
      <c r="AC404" s="231">
        <f t="shared" si="300"/>
        <v>1</v>
      </c>
      <c r="AD404" s="231">
        <f t="shared" si="301"/>
        <v>1</v>
      </c>
      <c r="AE404" s="231">
        <f t="shared" si="302"/>
        <v>0</v>
      </c>
      <c r="AF404" s="231">
        <f t="shared" si="303"/>
        <v>1</v>
      </c>
      <c r="AG404" s="231">
        <f t="shared" si="304"/>
        <v>1</v>
      </c>
      <c r="AH404" s="231">
        <f t="shared" si="305"/>
        <v>0</v>
      </c>
      <c r="AI404" s="231">
        <f t="shared" si="306"/>
        <v>0</v>
      </c>
      <c r="AJ404" s="231">
        <f t="shared" si="307"/>
        <v>1</v>
      </c>
      <c r="AK404" s="231">
        <f t="shared" si="308"/>
        <v>0</v>
      </c>
      <c r="AL404" s="231">
        <f t="shared" si="309"/>
        <v>1</v>
      </c>
      <c r="AM404" s="231">
        <f t="shared" si="310"/>
        <v>6</v>
      </c>
    </row>
    <row r="405" spans="4:39" x14ac:dyDescent="0.25">
      <c r="D405" s="231">
        <v>247</v>
      </c>
      <c r="E405" s="231" t="s">
        <v>72</v>
      </c>
      <c r="G405" s="231" t="s">
        <v>74</v>
      </c>
      <c r="H405" s="231" t="s">
        <v>69</v>
      </c>
      <c r="J405" s="231" t="s">
        <v>75</v>
      </c>
      <c r="K405" s="231" t="s">
        <v>77</v>
      </c>
      <c r="L405" s="231" t="s">
        <v>78</v>
      </c>
      <c r="N405" s="231" t="s">
        <v>516</v>
      </c>
      <c r="O405" s="232" t="s">
        <v>517</v>
      </c>
      <c r="R405" s="231" t="s">
        <v>568</v>
      </c>
      <c r="S405" s="231" t="s">
        <v>569</v>
      </c>
      <c r="T405" s="231" t="s">
        <v>565</v>
      </c>
      <c r="U405" s="231" t="s">
        <v>573</v>
      </c>
      <c r="V405" s="231" t="s">
        <v>575</v>
      </c>
      <c r="W405" s="231" t="s">
        <v>567</v>
      </c>
      <c r="X405" s="231" t="s">
        <v>572</v>
      </c>
      <c r="Y405" s="231" t="s">
        <v>571</v>
      </c>
      <c r="AA405" s="231">
        <f t="shared" si="298"/>
        <v>0</v>
      </c>
      <c r="AB405" s="231">
        <f t="shared" si="299"/>
        <v>0</v>
      </c>
      <c r="AC405" s="231">
        <f t="shared" si="300"/>
        <v>1</v>
      </c>
      <c r="AD405" s="231">
        <f t="shared" si="301"/>
        <v>1</v>
      </c>
      <c r="AE405" s="231">
        <f t="shared" si="302"/>
        <v>0</v>
      </c>
      <c r="AF405" s="231">
        <f t="shared" si="303"/>
        <v>1</v>
      </c>
      <c r="AG405" s="231">
        <f t="shared" si="304"/>
        <v>1</v>
      </c>
      <c r="AH405" s="231">
        <f t="shared" si="305"/>
        <v>0</v>
      </c>
      <c r="AI405" s="231">
        <f t="shared" si="306"/>
        <v>0</v>
      </c>
      <c r="AJ405" s="231">
        <f t="shared" si="307"/>
        <v>1</v>
      </c>
      <c r="AK405" s="231">
        <f t="shared" si="308"/>
        <v>0</v>
      </c>
      <c r="AL405" s="231">
        <f t="shared" si="309"/>
        <v>0</v>
      </c>
      <c r="AM405" s="231">
        <f t="shared" si="310"/>
        <v>5</v>
      </c>
    </row>
    <row r="406" spans="4:39" x14ac:dyDescent="0.25">
      <c r="D406" s="231">
        <v>248</v>
      </c>
      <c r="E406" s="231" t="s">
        <v>72</v>
      </c>
      <c r="G406" s="231" t="s">
        <v>74</v>
      </c>
      <c r="H406" s="231" t="s">
        <v>69</v>
      </c>
      <c r="J406" s="231" t="s">
        <v>75</v>
      </c>
      <c r="K406" s="231" t="s">
        <v>77</v>
      </c>
      <c r="L406" s="231" t="s">
        <v>78</v>
      </c>
      <c r="M406" s="231" t="s">
        <v>515</v>
      </c>
      <c r="P406" s="231" t="s">
        <v>70</v>
      </c>
      <c r="R406" s="231" t="s">
        <v>568</v>
      </c>
      <c r="S406" s="231" t="s">
        <v>569</v>
      </c>
      <c r="T406" s="231" t="s">
        <v>567</v>
      </c>
      <c r="U406" s="231" t="s">
        <v>573</v>
      </c>
      <c r="V406" s="231" t="s">
        <v>575</v>
      </c>
      <c r="W406" s="231" t="s">
        <v>572</v>
      </c>
      <c r="X406" s="231" t="s">
        <v>570</v>
      </c>
      <c r="Y406" s="231" t="s">
        <v>566</v>
      </c>
      <c r="AA406" s="231">
        <f t="shared" si="298"/>
        <v>0</v>
      </c>
      <c r="AB406" s="231">
        <f t="shared" si="299"/>
        <v>0</v>
      </c>
      <c r="AC406" s="231">
        <f t="shared" si="300"/>
        <v>1</v>
      </c>
      <c r="AD406" s="231">
        <f t="shared" si="301"/>
        <v>1</v>
      </c>
      <c r="AE406" s="231">
        <f t="shared" si="302"/>
        <v>0</v>
      </c>
      <c r="AF406" s="231">
        <f t="shared" si="303"/>
        <v>1</v>
      </c>
      <c r="AG406" s="231">
        <f t="shared" si="304"/>
        <v>1</v>
      </c>
      <c r="AH406" s="231">
        <f t="shared" si="305"/>
        <v>0</v>
      </c>
      <c r="AI406" s="231">
        <f t="shared" si="306"/>
        <v>1</v>
      </c>
      <c r="AJ406" s="231">
        <f t="shared" si="307"/>
        <v>0</v>
      </c>
      <c r="AK406" s="231">
        <f t="shared" si="308"/>
        <v>0</v>
      </c>
      <c r="AL406" s="231">
        <f t="shared" si="309"/>
        <v>1</v>
      </c>
      <c r="AM406" s="231">
        <f t="shared" si="310"/>
        <v>6</v>
      </c>
    </row>
    <row r="407" spans="4:39" x14ac:dyDescent="0.25">
      <c r="D407" s="231">
        <v>249</v>
      </c>
      <c r="E407" s="231" t="s">
        <v>72</v>
      </c>
      <c r="G407" s="231" t="s">
        <v>74</v>
      </c>
      <c r="H407" s="231" t="s">
        <v>69</v>
      </c>
      <c r="J407" s="231" t="s">
        <v>75</v>
      </c>
      <c r="K407" s="231" t="s">
        <v>77</v>
      </c>
      <c r="L407" s="231" t="s">
        <v>78</v>
      </c>
      <c r="M407" s="231" t="s">
        <v>515</v>
      </c>
      <c r="O407" s="232" t="s">
        <v>517</v>
      </c>
      <c r="R407" s="231" t="s">
        <v>568</v>
      </c>
      <c r="S407" s="231" t="s">
        <v>569</v>
      </c>
      <c r="T407" s="231" t="s">
        <v>567</v>
      </c>
      <c r="U407" s="231" t="s">
        <v>573</v>
      </c>
      <c r="V407" s="231" t="s">
        <v>575</v>
      </c>
      <c r="W407" s="231" t="s">
        <v>572</v>
      </c>
      <c r="X407" s="231" t="s">
        <v>566</v>
      </c>
      <c r="Y407" s="231" t="s">
        <v>571</v>
      </c>
      <c r="AA407" s="231">
        <f t="shared" si="298"/>
        <v>0</v>
      </c>
      <c r="AB407" s="231">
        <f t="shared" si="299"/>
        <v>0</v>
      </c>
      <c r="AC407" s="231">
        <f t="shared" si="300"/>
        <v>1</v>
      </c>
      <c r="AD407" s="231">
        <f t="shared" si="301"/>
        <v>1</v>
      </c>
      <c r="AE407" s="231">
        <f t="shared" si="302"/>
        <v>0</v>
      </c>
      <c r="AF407" s="231">
        <f t="shared" si="303"/>
        <v>1</v>
      </c>
      <c r="AG407" s="231">
        <f t="shared" si="304"/>
        <v>1</v>
      </c>
      <c r="AH407" s="231">
        <f t="shared" si="305"/>
        <v>0</v>
      </c>
      <c r="AI407" s="231">
        <f t="shared" si="306"/>
        <v>1</v>
      </c>
      <c r="AJ407" s="231">
        <f t="shared" si="307"/>
        <v>0</v>
      </c>
      <c r="AK407" s="231">
        <f t="shared" si="308"/>
        <v>0</v>
      </c>
      <c r="AL407" s="231">
        <f t="shared" si="309"/>
        <v>0</v>
      </c>
      <c r="AM407" s="231">
        <f t="shared" si="310"/>
        <v>5</v>
      </c>
    </row>
    <row r="408" spans="4:39" x14ac:dyDescent="0.25">
      <c r="D408" s="231">
        <v>250</v>
      </c>
      <c r="E408" s="231" t="s">
        <v>72</v>
      </c>
      <c r="G408" s="231" t="s">
        <v>74</v>
      </c>
      <c r="H408" s="231" t="s">
        <v>69</v>
      </c>
      <c r="J408" s="231" t="s">
        <v>75</v>
      </c>
      <c r="K408" s="231" t="s">
        <v>77</v>
      </c>
      <c r="L408" s="231" t="s">
        <v>78</v>
      </c>
      <c r="M408" s="231" t="s">
        <v>515</v>
      </c>
      <c r="N408" s="231" t="s">
        <v>516</v>
      </c>
      <c r="R408" s="231" t="s">
        <v>568</v>
      </c>
      <c r="S408" s="231" t="s">
        <v>569</v>
      </c>
      <c r="T408" s="231" t="s">
        <v>565</v>
      </c>
      <c r="U408" s="231" t="s">
        <v>573</v>
      </c>
      <c r="V408" s="231" t="s">
        <v>575</v>
      </c>
      <c r="W408" s="231" t="s">
        <v>567</v>
      </c>
      <c r="X408" s="231" t="s">
        <v>572</v>
      </c>
      <c r="Y408" s="231" t="s">
        <v>566</v>
      </c>
      <c r="AA408" s="231">
        <f t="shared" si="298"/>
        <v>0</v>
      </c>
      <c r="AB408" s="231">
        <f t="shared" si="299"/>
        <v>0</v>
      </c>
      <c r="AC408" s="231">
        <f t="shared" si="300"/>
        <v>1</v>
      </c>
      <c r="AD408" s="231">
        <f t="shared" si="301"/>
        <v>1</v>
      </c>
      <c r="AE408" s="231">
        <f t="shared" si="302"/>
        <v>0</v>
      </c>
      <c r="AF408" s="231">
        <f t="shared" si="303"/>
        <v>1</v>
      </c>
      <c r="AG408" s="231">
        <f t="shared" si="304"/>
        <v>1</v>
      </c>
      <c r="AH408" s="231">
        <f t="shared" si="305"/>
        <v>0</v>
      </c>
      <c r="AI408" s="231">
        <f t="shared" si="306"/>
        <v>1</v>
      </c>
      <c r="AJ408" s="231">
        <f t="shared" si="307"/>
        <v>1</v>
      </c>
      <c r="AK408" s="231">
        <f t="shared" si="308"/>
        <v>0</v>
      </c>
      <c r="AL408" s="231">
        <f t="shared" si="309"/>
        <v>0</v>
      </c>
      <c r="AM408" s="231">
        <f t="shared" si="310"/>
        <v>6</v>
      </c>
    </row>
    <row r="409" spans="4:39" x14ac:dyDescent="0.25">
      <c r="D409" s="231">
        <v>251</v>
      </c>
      <c r="E409" s="231" t="s">
        <v>72</v>
      </c>
      <c r="G409" s="231" t="s">
        <v>74</v>
      </c>
      <c r="H409" s="231" t="s">
        <v>69</v>
      </c>
      <c r="I409" s="231" t="s">
        <v>76</v>
      </c>
      <c r="M409" s="231" t="s">
        <v>515</v>
      </c>
      <c r="N409" s="231" t="s">
        <v>516</v>
      </c>
      <c r="O409" s="232" t="s">
        <v>517</v>
      </c>
      <c r="P409" s="231" t="s">
        <v>70</v>
      </c>
      <c r="R409" s="231" t="s">
        <v>564</v>
      </c>
      <c r="S409" s="231" t="s">
        <v>565</v>
      </c>
      <c r="T409" s="231" t="s">
        <v>566</v>
      </c>
      <c r="U409" s="231" t="s">
        <v>573</v>
      </c>
      <c r="V409" s="231" t="s">
        <v>575</v>
      </c>
      <c r="W409" s="231" t="s">
        <v>572</v>
      </c>
      <c r="X409" s="231" t="s">
        <v>570</v>
      </c>
      <c r="Y409" s="231" t="s">
        <v>571</v>
      </c>
      <c r="AA409" s="231">
        <f t="shared" si="298"/>
        <v>0</v>
      </c>
      <c r="AB409" s="231">
        <f t="shared" si="299"/>
        <v>0</v>
      </c>
      <c r="AC409" s="231">
        <f t="shared" si="300"/>
        <v>1</v>
      </c>
      <c r="AD409" s="231">
        <f t="shared" si="301"/>
        <v>1</v>
      </c>
      <c r="AE409" s="231">
        <f t="shared" si="302"/>
        <v>1</v>
      </c>
      <c r="AF409" s="231">
        <f t="shared" si="303"/>
        <v>0</v>
      </c>
      <c r="AG409" s="231">
        <f t="shared" si="304"/>
        <v>0</v>
      </c>
      <c r="AH409" s="231">
        <f t="shared" si="305"/>
        <v>0</v>
      </c>
      <c r="AI409" s="231">
        <f t="shared" si="306"/>
        <v>1</v>
      </c>
      <c r="AJ409" s="231">
        <f t="shared" si="307"/>
        <v>1</v>
      </c>
      <c r="AK409" s="231">
        <f t="shared" si="308"/>
        <v>0</v>
      </c>
      <c r="AL409" s="231">
        <f t="shared" si="309"/>
        <v>1</v>
      </c>
      <c r="AM409" s="231">
        <f t="shared" si="310"/>
        <v>6</v>
      </c>
    </row>
    <row r="410" spans="4:39" x14ac:dyDescent="0.25">
      <c r="D410" s="231">
        <v>252</v>
      </c>
      <c r="E410" s="231" t="s">
        <v>72</v>
      </c>
      <c r="G410" s="231" t="s">
        <v>74</v>
      </c>
      <c r="H410" s="231" t="s">
        <v>69</v>
      </c>
      <c r="I410" s="231" t="s">
        <v>76</v>
      </c>
      <c r="L410" s="231" t="s">
        <v>78</v>
      </c>
      <c r="N410" s="231" t="s">
        <v>516</v>
      </c>
      <c r="O410" s="232" t="s">
        <v>517</v>
      </c>
      <c r="P410" s="231" t="s">
        <v>70</v>
      </c>
      <c r="R410" s="231" t="s">
        <v>568</v>
      </c>
      <c r="S410" s="231" t="s">
        <v>565</v>
      </c>
      <c r="T410" s="231" t="s">
        <v>564</v>
      </c>
      <c r="U410" s="231" t="s">
        <v>573</v>
      </c>
      <c r="V410" s="231" t="s">
        <v>575</v>
      </c>
      <c r="W410" s="231" t="s">
        <v>572</v>
      </c>
      <c r="X410" s="231" t="s">
        <v>570</v>
      </c>
      <c r="Y410" s="231" t="s">
        <v>571</v>
      </c>
      <c r="AA410" s="231">
        <f t="shared" si="298"/>
        <v>0</v>
      </c>
      <c r="AB410" s="231">
        <f t="shared" si="299"/>
        <v>0</v>
      </c>
      <c r="AC410" s="231">
        <f t="shared" si="300"/>
        <v>1</v>
      </c>
      <c r="AD410" s="231">
        <f t="shared" si="301"/>
        <v>1</v>
      </c>
      <c r="AE410" s="231">
        <f t="shared" si="302"/>
        <v>1</v>
      </c>
      <c r="AF410" s="231">
        <f t="shared" si="303"/>
        <v>0</v>
      </c>
      <c r="AG410" s="231">
        <f t="shared" si="304"/>
        <v>0</v>
      </c>
      <c r="AH410" s="231">
        <f t="shared" si="305"/>
        <v>0</v>
      </c>
      <c r="AI410" s="231">
        <f t="shared" si="306"/>
        <v>0</v>
      </c>
      <c r="AJ410" s="231">
        <f t="shared" si="307"/>
        <v>1</v>
      </c>
      <c r="AK410" s="231">
        <f t="shared" si="308"/>
        <v>0</v>
      </c>
      <c r="AL410" s="231">
        <f t="shared" si="309"/>
        <v>1</v>
      </c>
      <c r="AM410" s="231">
        <f t="shared" si="310"/>
        <v>5</v>
      </c>
    </row>
    <row r="411" spans="4:39" x14ac:dyDescent="0.25">
      <c r="D411" s="231">
        <v>253</v>
      </c>
      <c r="E411" s="231" t="s">
        <v>72</v>
      </c>
      <c r="G411" s="231" t="s">
        <v>74</v>
      </c>
      <c r="H411" s="231" t="s">
        <v>69</v>
      </c>
      <c r="I411" s="231" t="s">
        <v>76</v>
      </c>
      <c r="L411" s="231" t="s">
        <v>78</v>
      </c>
      <c r="M411" s="231" t="s">
        <v>515</v>
      </c>
      <c r="O411" s="232" t="s">
        <v>517</v>
      </c>
      <c r="P411" s="231" t="s">
        <v>70</v>
      </c>
      <c r="R411" s="231" t="s">
        <v>568</v>
      </c>
      <c r="S411" s="231" t="s">
        <v>564</v>
      </c>
      <c r="T411" s="231" t="s">
        <v>566</v>
      </c>
      <c r="U411" s="231" t="s">
        <v>573</v>
      </c>
      <c r="V411" s="231" t="s">
        <v>575</v>
      </c>
      <c r="W411" s="231" t="s">
        <v>572</v>
      </c>
      <c r="X411" s="231" t="s">
        <v>570</v>
      </c>
      <c r="Y411" s="231" t="s">
        <v>571</v>
      </c>
      <c r="AA411" s="231">
        <f t="shared" si="298"/>
        <v>0</v>
      </c>
      <c r="AB411" s="231">
        <f t="shared" si="299"/>
        <v>0</v>
      </c>
      <c r="AC411" s="231">
        <f t="shared" si="300"/>
        <v>1</v>
      </c>
      <c r="AD411" s="231">
        <f t="shared" si="301"/>
        <v>1</v>
      </c>
      <c r="AE411" s="231">
        <f t="shared" si="302"/>
        <v>1</v>
      </c>
      <c r="AF411" s="231">
        <f t="shared" si="303"/>
        <v>0</v>
      </c>
      <c r="AG411" s="231">
        <f t="shared" si="304"/>
        <v>0</v>
      </c>
      <c r="AH411" s="231">
        <f t="shared" si="305"/>
        <v>0</v>
      </c>
      <c r="AI411" s="231">
        <f t="shared" si="306"/>
        <v>1</v>
      </c>
      <c r="AJ411" s="231">
        <f t="shared" si="307"/>
        <v>0</v>
      </c>
      <c r="AK411" s="231">
        <f t="shared" si="308"/>
        <v>0</v>
      </c>
      <c r="AL411" s="231">
        <f t="shared" si="309"/>
        <v>1</v>
      </c>
      <c r="AM411" s="231">
        <f t="shared" si="310"/>
        <v>5</v>
      </c>
    </row>
    <row r="412" spans="4:39" x14ac:dyDescent="0.25">
      <c r="D412" s="231">
        <v>254</v>
      </c>
      <c r="E412" s="231" t="s">
        <v>72</v>
      </c>
      <c r="G412" s="231" t="s">
        <v>74</v>
      </c>
      <c r="H412" s="231" t="s">
        <v>69</v>
      </c>
      <c r="I412" s="231" t="s">
        <v>76</v>
      </c>
      <c r="L412" s="231" t="s">
        <v>78</v>
      </c>
      <c r="M412" s="231" t="s">
        <v>515</v>
      </c>
      <c r="N412" s="231" t="s">
        <v>516</v>
      </c>
      <c r="P412" s="231" t="s">
        <v>70</v>
      </c>
      <c r="R412" s="231" t="s">
        <v>568</v>
      </c>
      <c r="S412" s="231" t="s">
        <v>565</v>
      </c>
      <c r="T412" s="231" t="s">
        <v>564</v>
      </c>
      <c r="U412" s="231" t="s">
        <v>573</v>
      </c>
      <c r="V412" s="231" t="s">
        <v>575</v>
      </c>
      <c r="W412" s="231" t="s">
        <v>572</v>
      </c>
      <c r="X412" s="231" t="s">
        <v>570</v>
      </c>
      <c r="Y412" s="231" t="s">
        <v>566</v>
      </c>
      <c r="AA412" s="231">
        <f t="shared" si="298"/>
        <v>0</v>
      </c>
      <c r="AB412" s="231">
        <f t="shared" si="299"/>
        <v>0</v>
      </c>
      <c r="AC412" s="231">
        <f t="shared" si="300"/>
        <v>1</v>
      </c>
      <c r="AD412" s="231">
        <f t="shared" si="301"/>
        <v>1</v>
      </c>
      <c r="AE412" s="231">
        <f t="shared" si="302"/>
        <v>1</v>
      </c>
      <c r="AF412" s="231">
        <f t="shared" si="303"/>
        <v>0</v>
      </c>
      <c r="AG412" s="231">
        <f t="shared" si="304"/>
        <v>0</v>
      </c>
      <c r="AH412" s="231">
        <f t="shared" si="305"/>
        <v>0</v>
      </c>
      <c r="AI412" s="231">
        <f t="shared" si="306"/>
        <v>1</v>
      </c>
      <c r="AJ412" s="231">
        <f t="shared" si="307"/>
        <v>1</v>
      </c>
      <c r="AK412" s="231">
        <f t="shared" si="308"/>
        <v>0</v>
      </c>
      <c r="AL412" s="231">
        <f t="shared" si="309"/>
        <v>1</v>
      </c>
      <c r="AM412" s="231">
        <f t="shared" si="310"/>
        <v>6</v>
      </c>
    </row>
    <row r="413" spans="4:39" x14ac:dyDescent="0.25">
      <c r="D413" s="231">
        <v>255</v>
      </c>
      <c r="E413" s="231" t="s">
        <v>72</v>
      </c>
      <c r="G413" s="231" t="s">
        <v>74</v>
      </c>
      <c r="H413" s="231" t="s">
        <v>69</v>
      </c>
      <c r="I413" s="231" t="s">
        <v>76</v>
      </c>
      <c r="L413" s="231" t="s">
        <v>78</v>
      </c>
      <c r="M413" s="231" t="s">
        <v>515</v>
      </c>
      <c r="N413" s="231" t="s">
        <v>516</v>
      </c>
      <c r="O413" s="232" t="s">
        <v>517</v>
      </c>
      <c r="R413" s="231" t="s">
        <v>568</v>
      </c>
      <c r="S413" s="231" t="s">
        <v>565</v>
      </c>
      <c r="T413" s="231" t="s">
        <v>564</v>
      </c>
      <c r="U413" s="231" t="s">
        <v>573</v>
      </c>
      <c r="V413" s="231" t="s">
        <v>575</v>
      </c>
      <c r="W413" s="231" t="s">
        <v>572</v>
      </c>
      <c r="X413" s="231" t="s">
        <v>566</v>
      </c>
      <c r="Y413" s="231" t="s">
        <v>571</v>
      </c>
      <c r="AA413" s="231">
        <f t="shared" si="298"/>
        <v>0</v>
      </c>
      <c r="AB413" s="231">
        <f t="shared" si="299"/>
        <v>0</v>
      </c>
      <c r="AC413" s="231">
        <f t="shared" si="300"/>
        <v>1</v>
      </c>
      <c r="AD413" s="231">
        <f t="shared" si="301"/>
        <v>1</v>
      </c>
      <c r="AE413" s="231">
        <f t="shared" si="302"/>
        <v>1</v>
      </c>
      <c r="AF413" s="231">
        <f t="shared" si="303"/>
        <v>0</v>
      </c>
      <c r="AG413" s="231">
        <f t="shared" si="304"/>
        <v>0</v>
      </c>
      <c r="AH413" s="231">
        <f t="shared" si="305"/>
        <v>0</v>
      </c>
      <c r="AI413" s="231">
        <f t="shared" si="306"/>
        <v>1</v>
      </c>
      <c r="AJ413" s="231">
        <f t="shared" si="307"/>
        <v>1</v>
      </c>
      <c r="AK413" s="231">
        <f t="shared" si="308"/>
        <v>0</v>
      </c>
      <c r="AL413" s="231">
        <f t="shared" si="309"/>
        <v>0</v>
      </c>
      <c r="AM413" s="231">
        <f t="shared" si="310"/>
        <v>5</v>
      </c>
    </row>
    <row r="414" spans="4:39" x14ac:dyDescent="0.25">
      <c r="D414" s="231">
        <v>256</v>
      </c>
      <c r="E414" s="231" t="s">
        <v>72</v>
      </c>
      <c r="G414" s="231" t="s">
        <v>74</v>
      </c>
      <c r="H414" s="231" t="s">
        <v>69</v>
      </c>
      <c r="I414" s="231" t="s">
        <v>76</v>
      </c>
      <c r="K414" s="231" t="s">
        <v>77</v>
      </c>
      <c r="N414" s="231" t="s">
        <v>516</v>
      </c>
      <c r="O414" s="232" t="s">
        <v>517</v>
      </c>
      <c r="P414" s="231" t="s">
        <v>70</v>
      </c>
      <c r="R414" s="231" t="s">
        <v>564</v>
      </c>
      <c r="S414" s="231" t="s">
        <v>569</v>
      </c>
      <c r="T414" s="231" t="s">
        <v>565</v>
      </c>
      <c r="U414" s="231" t="s">
        <v>573</v>
      </c>
      <c r="V414" s="231" t="s">
        <v>575</v>
      </c>
      <c r="W414" s="231" t="s">
        <v>572</v>
      </c>
      <c r="X414" s="231" t="s">
        <v>570</v>
      </c>
      <c r="Y414" s="231" t="s">
        <v>571</v>
      </c>
      <c r="AA414" s="231">
        <f t="shared" si="298"/>
        <v>0</v>
      </c>
      <c r="AB414" s="231">
        <f t="shared" si="299"/>
        <v>0</v>
      </c>
      <c r="AC414" s="231">
        <f t="shared" si="300"/>
        <v>1</v>
      </c>
      <c r="AD414" s="231">
        <f t="shared" si="301"/>
        <v>1</v>
      </c>
      <c r="AE414" s="231">
        <f t="shared" si="302"/>
        <v>1</v>
      </c>
      <c r="AF414" s="231">
        <f t="shared" si="303"/>
        <v>0</v>
      </c>
      <c r="AG414" s="231">
        <f t="shared" si="304"/>
        <v>1</v>
      </c>
      <c r="AH414" s="231">
        <f t="shared" si="305"/>
        <v>0</v>
      </c>
      <c r="AI414" s="231">
        <f t="shared" si="306"/>
        <v>0</v>
      </c>
      <c r="AJ414" s="231">
        <f t="shared" si="307"/>
        <v>1</v>
      </c>
      <c r="AK414" s="231">
        <f t="shared" si="308"/>
        <v>0</v>
      </c>
      <c r="AL414" s="231">
        <f t="shared" si="309"/>
        <v>1</v>
      </c>
      <c r="AM414" s="231">
        <f t="shared" si="310"/>
        <v>6</v>
      </c>
    </row>
    <row r="415" spans="4:39" x14ac:dyDescent="0.25">
      <c r="D415" s="231">
        <v>257</v>
      </c>
      <c r="E415" s="231" t="s">
        <v>72</v>
      </c>
      <c r="G415" s="231" t="s">
        <v>74</v>
      </c>
      <c r="H415" s="231" t="s">
        <v>69</v>
      </c>
      <c r="I415" s="231" t="s">
        <v>76</v>
      </c>
      <c r="K415" s="231" t="s">
        <v>77</v>
      </c>
      <c r="M415" s="231" t="s">
        <v>515</v>
      </c>
      <c r="O415" s="232" t="s">
        <v>517</v>
      </c>
      <c r="P415" s="231" t="s">
        <v>70</v>
      </c>
      <c r="R415" s="231" t="s">
        <v>564</v>
      </c>
      <c r="S415" s="231" t="s">
        <v>569</v>
      </c>
      <c r="T415" s="231" t="s">
        <v>566</v>
      </c>
      <c r="U415" s="231" t="s">
        <v>573</v>
      </c>
      <c r="V415" s="231" t="s">
        <v>575</v>
      </c>
      <c r="W415" s="231" t="s">
        <v>572</v>
      </c>
      <c r="X415" s="231" t="s">
        <v>570</v>
      </c>
      <c r="Y415" s="231" t="s">
        <v>571</v>
      </c>
      <c r="AA415" s="231">
        <f t="shared" si="298"/>
        <v>0</v>
      </c>
      <c r="AB415" s="231">
        <f t="shared" si="299"/>
        <v>0</v>
      </c>
      <c r="AC415" s="231">
        <f t="shared" si="300"/>
        <v>1</v>
      </c>
      <c r="AD415" s="231">
        <f t="shared" si="301"/>
        <v>1</v>
      </c>
      <c r="AE415" s="231">
        <f t="shared" si="302"/>
        <v>1</v>
      </c>
      <c r="AF415" s="231">
        <f t="shared" si="303"/>
        <v>0</v>
      </c>
      <c r="AG415" s="231">
        <f t="shared" si="304"/>
        <v>1</v>
      </c>
      <c r="AH415" s="231">
        <f t="shared" si="305"/>
        <v>0</v>
      </c>
      <c r="AI415" s="231">
        <f t="shared" si="306"/>
        <v>1</v>
      </c>
      <c r="AJ415" s="231">
        <f t="shared" si="307"/>
        <v>0</v>
      </c>
      <c r="AK415" s="231">
        <f t="shared" si="308"/>
        <v>0</v>
      </c>
      <c r="AL415" s="231">
        <f t="shared" si="309"/>
        <v>1</v>
      </c>
      <c r="AM415" s="231">
        <f t="shared" si="310"/>
        <v>6</v>
      </c>
    </row>
    <row r="416" spans="4:39" x14ac:dyDescent="0.25">
      <c r="D416" s="231">
        <v>258</v>
      </c>
      <c r="E416" s="231" t="s">
        <v>72</v>
      </c>
      <c r="G416" s="231" t="s">
        <v>74</v>
      </c>
      <c r="H416" s="231" t="s">
        <v>69</v>
      </c>
      <c r="I416" s="231" t="s">
        <v>76</v>
      </c>
      <c r="K416" s="231" t="s">
        <v>77</v>
      </c>
      <c r="M416" s="231" t="s">
        <v>515</v>
      </c>
      <c r="N416" s="231" t="s">
        <v>516</v>
      </c>
      <c r="P416" s="231" t="s">
        <v>70</v>
      </c>
      <c r="R416" s="231" t="s">
        <v>564</v>
      </c>
      <c r="S416" s="231" t="s">
        <v>569</v>
      </c>
      <c r="T416" s="231" t="s">
        <v>565</v>
      </c>
      <c r="U416" s="231" t="s">
        <v>573</v>
      </c>
      <c r="V416" s="231" t="s">
        <v>575</v>
      </c>
      <c r="W416" s="231" t="s">
        <v>572</v>
      </c>
      <c r="X416" s="231" t="s">
        <v>570</v>
      </c>
      <c r="Y416" s="231" t="s">
        <v>566</v>
      </c>
      <c r="AA416" s="231">
        <f t="shared" ref="AA416:AA479" si="311">IF(AND(E416&lt;&gt;"",AA$158=1),1,0)</f>
        <v>0</v>
      </c>
      <c r="AB416" s="231">
        <f t="shared" ref="AB416:AB479" si="312">IF(AND(F416&lt;&gt;"",AB$158=1),1,0)</f>
        <v>0</v>
      </c>
      <c r="AC416" s="231">
        <f t="shared" ref="AC416:AC479" si="313">IF(AND(G416&lt;&gt;"",AC$158=1),1,0)</f>
        <v>1</v>
      </c>
      <c r="AD416" s="231">
        <f t="shared" ref="AD416:AD479" si="314">IF(AND(H416&lt;&gt;"",AD$158=1),1,0)</f>
        <v>1</v>
      </c>
      <c r="AE416" s="231">
        <f t="shared" ref="AE416:AE479" si="315">IF(AND(I416&lt;&gt;"",AE$158=1),1,0)</f>
        <v>1</v>
      </c>
      <c r="AF416" s="231">
        <f t="shared" ref="AF416:AF479" si="316">IF(AND(J416&lt;&gt;"",AF$158=1),1,0)</f>
        <v>0</v>
      </c>
      <c r="AG416" s="231">
        <f t="shared" ref="AG416:AG479" si="317">IF(AND(K416&lt;&gt;"",AG$158=1),1,0)</f>
        <v>1</v>
      </c>
      <c r="AH416" s="231">
        <f t="shared" ref="AH416:AH479" si="318">IF(AND(L416&lt;&gt;"",AH$158=1),1,0)</f>
        <v>0</v>
      </c>
      <c r="AI416" s="231">
        <f t="shared" ref="AI416:AI479" si="319">IF(AND(M416&lt;&gt;"",AI$158=1),1,0)</f>
        <v>1</v>
      </c>
      <c r="AJ416" s="231">
        <f t="shared" ref="AJ416:AJ479" si="320">IF(AND(N416&lt;&gt;"",AJ$158=1),1,0)</f>
        <v>1</v>
      </c>
      <c r="AK416" s="231">
        <f t="shared" ref="AK416:AK479" si="321">IF(AND(O416&lt;&gt;"",AK$158=1),1,0)</f>
        <v>0</v>
      </c>
      <c r="AL416" s="231">
        <f t="shared" ref="AL416:AL479" si="322">IF(AND(P416&lt;&gt;"",AL$158=1),1,0)</f>
        <v>1</v>
      </c>
      <c r="AM416" s="231">
        <f t="shared" ref="AM416:AM479" si="323">SUM(AA416:AL416)</f>
        <v>7</v>
      </c>
    </row>
    <row r="417" spans="4:39" x14ac:dyDescent="0.25">
      <c r="D417" s="231">
        <v>259</v>
      </c>
      <c r="E417" s="231" t="s">
        <v>72</v>
      </c>
      <c r="G417" s="231" t="s">
        <v>74</v>
      </c>
      <c r="H417" s="231" t="s">
        <v>69</v>
      </c>
      <c r="I417" s="231" t="s">
        <v>76</v>
      </c>
      <c r="K417" s="231" t="s">
        <v>77</v>
      </c>
      <c r="M417" s="231" t="s">
        <v>515</v>
      </c>
      <c r="N417" s="231" t="s">
        <v>516</v>
      </c>
      <c r="O417" s="232" t="s">
        <v>517</v>
      </c>
      <c r="R417" s="231" t="s">
        <v>564</v>
      </c>
      <c r="S417" s="231" t="s">
        <v>569</v>
      </c>
      <c r="T417" s="231" t="s">
        <v>565</v>
      </c>
      <c r="U417" s="231" t="s">
        <v>573</v>
      </c>
      <c r="V417" s="231" t="s">
        <v>575</v>
      </c>
      <c r="W417" s="231" t="s">
        <v>572</v>
      </c>
      <c r="X417" s="231" t="s">
        <v>566</v>
      </c>
      <c r="Y417" s="231" t="s">
        <v>571</v>
      </c>
      <c r="AA417" s="231">
        <f t="shared" si="311"/>
        <v>0</v>
      </c>
      <c r="AB417" s="231">
        <f t="shared" si="312"/>
        <v>0</v>
      </c>
      <c r="AC417" s="231">
        <f t="shared" si="313"/>
        <v>1</v>
      </c>
      <c r="AD417" s="231">
        <f t="shared" si="314"/>
        <v>1</v>
      </c>
      <c r="AE417" s="231">
        <f t="shared" si="315"/>
        <v>1</v>
      </c>
      <c r="AF417" s="231">
        <f t="shared" si="316"/>
        <v>0</v>
      </c>
      <c r="AG417" s="231">
        <f t="shared" si="317"/>
        <v>1</v>
      </c>
      <c r="AH417" s="231">
        <f t="shared" si="318"/>
        <v>0</v>
      </c>
      <c r="AI417" s="231">
        <f t="shared" si="319"/>
        <v>1</v>
      </c>
      <c r="AJ417" s="231">
        <f t="shared" si="320"/>
        <v>1</v>
      </c>
      <c r="AK417" s="231">
        <f t="shared" si="321"/>
        <v>0</v>
      </c>
      <c r="AL417" s="231">
        <f t="shared" si="322"/>
        <v>0</v>
      </c>
      <c r="AM417" s="231">
        <f t="shared" si="323"/>
        <v>6</v>
      </c>
    </row>
    <row r="418" spans="4:39" x14ac:dyDescent="0.25">
      <c r="D418" s="231">
        <v>260</v>
      </c>
      <c r="E418" s="231" t="s">
        <v>72</v>
      </c>
      <c r="G418" s="231" t="s">
        <v>74</v>
      </c>
      <c r="H418" s="231" t="s">
        <v>69</v>
      </c>
      <c r="I418" s="231" t="s">
        <v>76</v>
      </c>
      <c r="K418" s="231" t="s">
        <v>77</v>
      </c>
      <c r="L418" s="231" t="s">
        <v>78</v>
      </c>
      <c r="O418" s="232" t="s">
        <v>517</v>
      </c>
      <c r="P418" s="231" t="s">
        <v>70</v>
      </c>
      <c r="R418" s="231" t="s">
        <v>568</v>
      </c>
      <c r="S418" s="231" t="s">
        <v>569</v>
      </c>
      <c r="T418" s="231" t="s">
        <v>564</v>
      </c>
      <c r="U418" s="231" t="s">
        <v>573</v>
      </c>
      <c r="V418" s="231" t="s">
        <v>575</v>
      </c>
      <c r="W418" s="231" t="s">
        <v>572</v>
      </c>
      <c r="X418" s="231" t="s">
        <v>570</v>
      </c>
      <c r="Y418" s="231" t="s">
        <v>571</v>
      </c>
      <c r="AA418" s="231">
        <f t="shared" si="311"/>
        <v>0</v>
      </c>
      <c r="AB418" s="231">
        <f t="shared" si="312"/>
        <v>0</v>
      </c>
      <c r="AC418" s="231">
        <f t="shared" si="313"/>
        <v>1</v>
      </c>
      <c r="AD418" s="231">
        <f t="shared" si="314"/>
        <v>1</v>
      </c>
      <c r="AE418" s="231">
        <f t="shared" si="315"/>
        <v>1</v>
      </c>
      <c r="AF418" s="231">
        <f t="shared" si="316"/>
        <v>0</v>
      </c>
      <c r="AG418" s="231">
        <f t="shared" si="317"/>
        <v>1</v>
      </c>
      <c r="AH418" s="231">
        <f t="shared" si="318"/>
        <v>0</v>
      </c>
      <c r="AI418" s="231">
        <f t="shared" si="319"/>
        <v>0</v>
      </c>
      <c r="AJ418" s="231">
        <f t="shared" si="320"/>
        <v>0</v>
      </c>
      <c r="AK418" s="231">
        <f t="shared" si="321"/>
        <v>0</v>
      </c>
      <c r="AL418" s="231">
        <f t="shared" si="322"/>
        <v>1</v>
      </c>
      <c r="AM418" s="231">
        <f t="shared" si="323"/>
        <v>5</v>
      </c>
    </row>
    <row r="419" spans="4:39" x14ac:dyDescent="0.25">
      <c r="D419" s="231">
        <v>261</v>
      </c>
      <c r="E419" s="231" t="s">
        <v>72</v>
      </c>
      <c r="G419" s="231" t="s">
        <v>74</v>
      </c>
      <c r="H419" s="231" t="s">
        <v>69</v>
      </c>
      <c r="I419" s="231" t="s">
        <v>76</v>
      </c>
      <c r="K419" s="231" t="s">
        <v>77</v>
      </c>
      <c r="L419" s="231" t="s">
        <v>78</v>
      </c>
      <c r="N419" s="231" t="s">
        <v>516</v>
      </c>
      <c r="P419" s="231" t="s">
        <v>70</v>
      </c>
      <c r="R419" s="231" t="s">
        <v>568</v>
      </c>
      <c r="S419" s="231" t="s">
        <v>569</v>
      </c>
      <c r="T419" s="231" t="s">
        <v>565</v>
      </c>
      <c r="U419" s="231" t="s">
        <v>573</v>
      </c>
      <c r="V419" s="231" t="s">
        <v>575</v>
      </c>
      <c r="W419" s="231" t="s">
        <v>572</v>
      </c>
      <c r="X419" s="231" t="s">
        <v>570</v>
      </c>
      <c r="Y419" s="231" t="s">
        <v>564</v>
      </c>
      <c r="AA419" s="231">
        <f t="shared" si="311"/>
        <v>0</v>
      </c>
      <c r="AB419" s="231">
        <f t="shared" si="312"/>
        <v>0</v>
      </c>
      <c r="AC419" s="231">
        <f t="shared" si="313"/>
        <v>1</v>
      </c>
      <c r="AD419" s="231">
        <f t="shared" si="314"/>
        <v>1</v>
      </c>
      <c r="AE419" s="231">
        <f t="shared" si="315"/>
        <v>1</v>
      </c>
      <c r="AF419" s="231">
        <f t="shared" si="316"/>
        <v>0</v>
      </c>
      <c r="AG419" s="231">
        <f t="shared" si="317"/>
        <v>1</v>
      </c>
      <c r="AH419" s="231">
        <f t="shared" si="318"/>
        <v>0</v>
      </c>
      <c r="AI419" s="231">
        <f t="shared" si="319"/>
        <v>0</v>
      </c>
      <c r="AJ419" s="231">
        <f t="shared" si="320"/>
        <v>1</v>
      </c>
      <c r="AK419" s="231">
        <f t="shared" si="321"/>
        <v>0</v>
      </c>
      <c r="AL419" s="231">
        <f t="shared" si="322"/>
        <v>1</v>
      </c>
      <c r="AM419" s="231">
        <f t="shared" si="323"/>
        <v>6</v>
      </c>
    </row>
    <row r="420" spans="4:39" x14ac:dyDescent="0.25">
      <c r="D420" s="231">
        <v>262</v>
      </c>
      <c r="E420" s="231" t="s">
        <v>72</v>
      </c>
      <c r="G420" s="231" t="s">
        <v>74</v>
      </c>
      <c r="H420" s="231" t="s">
        <v>69</v>
      </c>
      <c r="I420" s="231" t="s">
        <v>76</v>
      </c>
      <c r="K420" s="231" t="s">
        <v>77</v>
      </c>
      <c r="L420" s="231" t="s">
        <v>78</v>
      </c>
      <c r="N420" s="231" t="s">
        <v>516</v>
      </c>
      <c r="O420" s="232" t="s">
        <v>517</v>
      </c>
      <c r="R420" s="231" t="s">
        <v>568</v>
      </c>
      <c r="S420" s="231" t="s">
        <v>569</v>
      </c>
      <c r="T420" s="231" t="s">
        <v>565</v>
      </c>
      <c r="U420" s="231" t="s">
        <v>573</v>
      </c>
      <c r="V420" s="231" t="s">
        <v>575</v>
      </c>
      <c r="W420" s="231" t="s">
        <v>572</v>
      </c>
      <c r="X420" s="231" t="s">
        <v>564</v>
      </c>
      <c r="Y420" s="231" t="s">
        <v>571</v>
      </c>
      <c r="AA420" s="231">
        <f t="shared" si="311"/>
        <v>0</v>
      </c>
      <c r="AB420" s="231">
        <f t="shared" si="312"/>
        <v>0</v>
      </c>
      <c r="AC420" s="231">
        <f t="shared" si="313"/>
        <v>1</v>
      </c>
      <c r="AD420" s="231">
        <f t="shared" si="314"/>
        <v>1</v>
      </c>
      <c r="AE420" s="231">
        <f t="shared" si="315"/>
        <v>1</v>
      </c>
      <c r="AF420" s="231">
        <f t="shared" si="316"/>
        <v>0</v>
      </c>
      <c r="AG420" s="231">
        <f t="shared" si="317"/>
        <v>1</v>
      </c>
      <c r="AH420" s="231">
        <f t="shared" si="318"/>
        <v>0</v>
      </c>
      <c r="AI420" s="231">
        <f t="shared" si="319"/>
        <v>0</v>
      </c>
      <c r="AJ420" s="231">
        <f t="shared" si="320"/>
        <v>1</v>
      </c>
      <c r="AK420" s="231">
        <f t="shared" si="321"/>
        <v>0</v>
      </c>
      <c r="AL420" s="231">
        <f t="shared" si="322"/>
        <v>0</v>
      </c>
      <c r="AM420" s="231">
        <f t="shared" si="323"/>
        <v>5</v>
      </c>
    </row>
    <row r="421" spans="4:39" x14ac:dyDescent="0.25">
      <c r="D421" s="231">
        <v>263</v>
      </c>
      <c r="E421" s="231" t="s">
        <v>72</v>
      </c>
      <c r="G421" s="231" t="s">
        <v>74</v>
      </c>
      <c r="H421" s="231" t="s">
        <v>69</v>
      </c>
      <c r="I421" s="231" t="s">
        <v>76</v>
      </c>
      <c r="K421" s="231" t="s">
        <v>77</v>
      </c>
      <c r="L421" s="231" t="s">
        <v>78</v>
      </c>
      <c r="M421" s="231" t="s">
        <v>515</v>
      </c>
      <c r="P421" s="231" t="s">
        <v>70</v>
      </c>
      <c r="R421" s="231" t="s">
        <v>568</v>
      </c>
      <c r="S421" s="231" t="s">
        <v>569</v>
      </c>
      <c r="T421" s="231" t="s">
        <v>564</v>
      </c>
      <c r="U421" s="231" t="s">
        <v>573</v>
      </c>
      <c r="V421" s="231" t="s">
        <v>575</v>
      </c>
      <c r="W421" s="231" t="s">
        <v>572</v>
      </c>
      <c r="X421" s="231" t="s">
        <v>570</v>
      </c>
      <c r="Y421" s="231" t="s">
        <v>566</v>
      </c>
      <c r="AA421" s="231">
        <f t="shared" si="311"/>
        <v>0</v>
      </c>
      <c r="AB421" s="231">
        <f t="shared" si="312"/>
        <v>0</v>
      </c>
      <c r="AC421" s="231">
        <f t="shared" si="313"/>
        <v>1</v>
      </c>
      <c r="AD421" s="231">
        <f t="shared" si="314"/>
        <v>1</v>
      </c>
      <c r="AE421" s="231">
        <f t="shared" si="315"/>
        <v>1</v>
      </c>
      <c r="AF421" s="231">
        <f t="shared" si="316"/>
        <v>0</v>
      </c>
      <c r="AG421" s="231">
        <f t="shared" si="317"/>
        <v>1</v>
      </c>
      <c r="AH421" s="231">
        <f t="shared" si="318"/>
        <v>0</v>
      </c>
      <c r="AI421" s="231">
        <f t="shared" si="319"/>
        <v>1</v>
      </c>
      <c r="AJ421" s="231">
        <f t="shared" si="320"/>
        <v>0</v>
      </c>
      <c r="AK421" s="231">
        <f t="shared" si="321"/>
        <v>0</v>
      </c>
      <c r="AL421" s="231">
        <f t="shared" si="322"/>
        <v>1</v>
      </c>
      <c r="AM421" s="231">
        <f t="shared" si="323"/>
        <v>6</v>
      </c>
    </row>
    <row r="422" spans="4:39" x14ac:dyDescent="0.25">
      <c r="D422" s="231">
        <v>264</v>
      </c>
      <c r="E422" s="231" t="s">
        <v>72</v>
      </c>
      <c r="G422" s="231" t="s">
        <v>74</v>
      </c>
      <c r="H422" s="231" t="s">
        <v>69</v>
      </c>
      <c r="I422" s="231" t="s">
        <v>76</v>
      </c>
      <c r="K422" s="231" t="s">
        <v>77</v>
      </c>
      <c r="L422" s="231" t="s">
        <v>78</v>
      </c>
      <c r="M422" s="231" t="s">
        <v>515</v>
      </c>
      <c r="O422" s="232" t="s">
        <v>517</v>
      </c>
      <c r="R422" s="231" t="s">
        <v>568</v>
      </c>
      <c r="S422" s="231" t="s">
        <v>569</v>
      </c>
      <c r="T422" s="231" t="s">
        <v>564</v>
      </c>
      <c r="U422" s="231" t="s">
        <v>573</v>
      </c>
      <c r="V422" s="231" t="s">
        <v>575</v>
      </c>
      <c r="W422" s="231" t="s">
        <v>572</v>
      </c>
      <c r="X422" s="231" t="s">
        <v>566</v>
      </c>
      <c r="Y422" s="231" t="s">
        <v>571</v>
      </c>
      <c r="AA422" s="231">
        <f t="shared" si="311"/>
        <v>0</v>
      </c>
      <c r="AB422" s="231">
        <f t="shared" si="312"/>
        <v>0</v>
      </c>
      <c r="AC422" s="231">
        <f t="shared" si="313"/>
        <v>1</v>
      </c>
      <c r="AD422" s="231">
        <f t="shared" si="314"/>
        <v>1</v>
      </c>
      <c r="AE422" s="231">
        <f t="shared" si="315"/>
        <v>1</v>
      </c>
      <c r="AF422" s="231">
        <f t="shared" si="316"/>
        <v>0</v>
      </c>
      <c r="AG422" s="231">
        <f t="shared" si="317"/>
        <v>1</v>
      </c>
      <c r="AH422" s="231">
        <f t="shared" si="318"/>
        <v>0</v>
      </c>
      <c r="AI422" s="231">
        <f t="shared" si="319"/>
        <v>1</v>
      </c>
      <c r="AJ422" s="231">
        <f t="shared" si="320"/>
        <v>0</v>
      </c>
      <c r="AK422" s="231">
        <f t="shared" si="321"/>
        <v>0</v>
      </c>
      <c r="AL422" s="231">
        <f t="shared" si="322"/>
        <v>0</v>
      </c>
      <c r="AM422" s="231">
        <f t="shared" si="323"/>
        <v>5</v>
      </c>
    </row>
    <row r="423" spans="4:39" x14ac:dyDescent="0.25">
      <c r="D423" s="231">
        <v>265</v>
      </c>
      <c r="E423" s="231" t="s">
        <v>72</v>
      </c>
      <c r="G423" s="231" t="s">
        <v>74</v>
      </c>
      <c r="H423" s="231" t="s">
        <v>69</v>
      </c>
      <c r="I423" s="231" t="s">
        <v>76</v>
      </c>
      <c r="K423" s="231" t="s">
        <v>77</v>
      </c>
      <c r="L423" s="231" t="s">
        <v>78</v>
      </c>
      <c r="M423" s="231" t="s">
        <v>515</v>
      </c>
      <c r="N423" s="231" t="s">
        <v>516</v>
      </c>
      <c r="R423" s="231" t="s">
        <v>568</v>
      </c>
      <c r="S423" s="231" t="s">
        <v>569</v>
      </c>
      <c r="T423" s="231" t="s">
        <v>565</v>
      </c>
      <c r="U423" s="231" t="s">
        <v>573</v>
      </c>
      <c r="V423" s="231" t="s">
        <v>575</v>
      </c>
      <c r="W423" s="231" t="s">
        <v>572</v>
      </c>
      <c r="X423" s="231" t="s">
        <v>564</v>
      </c>
      <c r="Y423" s="231" t="s">
        <v>566</v>
      </c>
      <c r="AA423" s="231">
        <f t="shared" si="311"/>
        <v>0</v>
      </c>
      <c r="AB423" s="231">
        <f t="shared" si="312"/>
        <v>0</v>
      </c>
      <c r="AC423" s="231">
        <f t="shared" si="313"/>
        <v>1</v>
      </c>
      <c r="AD423" s="231">
        <f t="shared" si="314"/>
        <v>1</v>
      </c>
      <c r="AE423" s="231">
        <f t="shared" si="315"/>
        <v>1</v>
      </c>
      <c r="AF423" s="231">
        <f t="shared" si="316"/>
        <v>0</v>
      </c>
      <c r="AG423" s="231">
        <f t="shared" si="317"/>
        <v>1</v>
      </c>
      <c r="AH423" s="231">
        <f t="shared" si="318"/>
        <v>0</v>
      </c>
      <c r="AI423" s="231">
        <f t="shared" si="319"/>
        <v>1</v>
      </c>
      <c r="AJ423" s="231">
        <f t="shared" si="320"/>
        <v>1</v>
      </c>
      <c r="AK423" s="231">
        <f t="shared" si="321"/>
        <v>0</v>
      </c>
      <c r="AL423" s="231">
        <f t="shared" si="322"/>
        <v>0</v>
      </c>
      <c r="AM423" s="231">
        <f t="shared" si="323"/>
        <v>6</v>
      </c>
    </row>
    <row r="424" spans="4:39" x14ac:dyDescent="0.25">
      <c r="D424" s="231">
        <v>266</v>
      </c>
      <c r="E424" s="231" t="s">
        <v>72</v>
      </c>
      <c r="G424" s="231" t="s">
        <v>74</v>
      </c>
      <c r="H424" s="231" t="s">
        <v>69</v>
      </c>
      <c r="I424" s="231" t="s">
        <v>76</v>
      </c>
      <c r="J424" s="231" t="s">
        <v>75</v>
      </c>
      <c r="N424" s="231" t="s">
        <v>516</v>
      </c>
      <c r="O424" s="232" t="s">
        <v>517</v>
      </c>
      <c r="P424" s="231" t="s">
        <v>70</v>
      </c>
      <c r="R424" s="231" t="s">
        <v>573</v>
      </c>
      <c r="S424" s="231" t="s">
        <v>565</v>
      </c>
      <c r="T424" s="231" t="s">
        <v>564</v>
      </c>
      <c r="U424" s="231" t="s">
        <v>572</v>
      </c>
      <c r="V424" s="231" t="s">
        <v>575</v>
      </c>
      <c r="W424" s="231" t="s">
        <v>567</v>
      </c>
      <c r="X424" s="231" t="s">
        <v>570</v>
      </c>
      <c r="Y424" s="231" t="s">
        <v>571</v>
      </c>
      <c r="AA424" s="231">
        <f t="shared" si="311"/>
        <v>0</v>
      </c>
      <c r="AB424" s="231">
        <f t="shared" si="312"/>
        <v>0</v>
      </c>
      <c r="AC424" s="231">
        <f t="shared" si="313"/>
        <v>1</v>
      </c>
      <c r="AD424" s="231">
        <f t="shared" si="314"/>
        <v>1</v>
      </c>
      <c r="AE424" s="231">
        <f t="shared" si="315"/>
        <v>1</v>
      </c>
      <c r="AF424" s="231">
        <f t="shared" si="316"/>
        <v>1</v>
      </c>
      <c r="AG424" s="231">
        <f t="shared" si="317"/>
        <v>0</v>
      </c>
      <c r="AH424" s="231">
        <f t="shared" si="318"/>
        <v>0</v>
      </c>
      <c r="AI424" s="231">
        <f t="shared" si="319"/>
        <v>0</v>
      </c>
      <c r="AJ424" s="231">
        <f t="shared" si="320"/>
        <v>1</v>
      </c>
      <c r="AK424" s="231">
        <f t="shared" si="321"/>
        <v>0</v>
      </c>
      <c r="AL424" s="231">
        <f t="shared" si="322"/>
        <v>1</v>
      </c>
      <c r="AM424" s="231">
        <f t="shared" si="323"/>
        <v>6</v>
      </c>
    </row>
    <row r="425" spans="4:39" x14ac:dyDescent="0.25">
      <c r="D425" s="231">
        <v>267</v>
      </c>
      <c r="E425" s="231" t="s">
        <v>72</v>
      </c>
      <c r="G425" s="231" t="s">
        <v>74</v>
      </c>
      <c r="H425" s="231" t="s">
        <v>69</v>
      </c>
      <c r="I425" s="231" t="s">
        <v>76</v>
      </c>
      <c r="J425" s="231" t="s">
        <v>75</v>
      </c>
      <c r="M425" s="231" t="s">
        <v>515</v>
      </c>
      <c r="O425" s="232" t="s">
        <v>517</v>
      </c>
      <c r="P425" s="231" t="s">
        <v>70</v>
      </c>
      <c r="R425" s="231" t="s">
        <v>573</v>
      </c>
      <c r="S425" s="231" t="s">
        <v>564</v>
      </c>
      <c r="T425" s="231" t="s">
        <v>566</v>
      </c>
      <c r="U425" s="231" t="s">
        <v>572</v>
      </c>
      <c r="V425" s="231" t="s">
        <v>575</v>
      </c>
      <c r="W425" s="231" t="s">
        <v>567</v>
      </c>
      <c r="X425" s="231" t="s">
        <v>570</v>
      </c>
      <c r="Y425" s="231" t="s">
        <v>571</v>
      </c>
      <c r="AA425" s="231">
        <f t="shared" si="311"/>
        <v>0</v>
      </c>
      <c r="AB425" s="231">
        <f t="shared" si="312"/>
        <v>0</v>
      </c>
      <c r="AC425" s="231">
        <f t="shared" si="313"/>
        <v>1</v>
      </c>
      <c r="AD425" s="231">
        <f t="shared" si="314"/>
        <v>1</v>
      </c>
      <c r="AE425" s="231">
        <f t="shared" si="315"/>
        <v>1</v>
      </c>
      <c r="AF425" s="231">
        <f t="shared" si="316"/>
        <v>1</v>
      </c>
      <c r="AG425" s="231">
        <f t="shared" si="317"/>
        <v>0</v>
      </c>
      <c r="AH425" s="231">
        <f t="shared" si="318"/>
        <v>0</v>
      </c>
      <c r="AI425" s="231">
        <f t="shared" si="319"/>
        <v>1</v>
      </c>
      <c r="AJ425" s="231">
        <f t="shared" si="320"/>
        <v>0</v>
      </c>
      <c r="AK425" s="231">
        <f t="shared" si="321"/>
        <v>0</v>
      </c>
      <c r="AL425" s="231">
        <f t="shared" si="322"/>
        <v>1</v>
      </c>
      <c r="AM425" s="231">
        <f t="shared" si="323"/>
        <v>6</v>
      </c>
    </row>
    <row r="426" spans="4:39" x14ac:dyDescent="0.25">
      <c r="D426" s="231">
        <v>268</v>
      </c>
      <c r="E426" s="231" t="s">
        <v>72</v>
      </c>
      <c r="G426" s="231" t="s">
        <v>74</v>
      </c>
      <c r="H426" s="231" t="s">
        <v>69</v>
      </c>
      <c r="I426" s="231" t="s">
        <v>76</v>
      </c>
      <c r="J426" s="231" t="s">
        <v>75</v>
      </c>
      <c r="M426" s="231" t="s">
        <v>515</v>
      </c>
      <c r="N426" s="231" t="s">
        <v>516</v>
      </c>
      <c r="P426" s="231" t="s">
        <v>70</v>
      </c>
      <c r="R426" s="231" t="s">
        <v>573</v>
      </c>
      <c r="S426" s="231" t="s">
        <v>565</v>
      </c>
      <c r="T426" s="231" t="s">
        <v>564</v>
      </c>
      <c r="U426" s="231" t="s">
        <v>572</v>
      </c>
      <c r="V426" s="231" t="s">
        <v>575</v>
      </c>
      <c r="W426" s="231" t="s">
        <v>567</v>
      </c>
      <c r="X426" s="231" t="s">
        <v>570</v>
      </c>
      <c r="Y426" s="231" t="s">
        <v>566</v>
      </c>
      <c r="AA426" s="231">
        <f t="shared" si="311"/>
        <v>0</v>
      </c>
      <c r="AB426" s="231">
        <f t="shared" si="312"/>
        <v>0</v>
      </c>
      <c r="AC426" s="231">
        <f t="shared" si="313"/>
        <v>1</v>
      </c>
      <c r="AD426" s="231">
        <f t="shared" si="314"/>
        <v>1</v>
      </c>
      <c r="AE426" s="231">
        <f t="shared" si="315"/>
        <v>1</v>
      </c>
      <c r="AF426" s="231">
        <f t="shared" si="316"/>
        <v>1</v>
      </c>
      <c r="AG426" s="231">
        <f t="shared" si="317"/>
        <v>0</v>
      </c>
      <c r="AH426" s="231">
        <f t="shared" si="318"/>
        <v>0</v>
      </c>
      <c r="AI426" s="231">
        <f t="shared" si="319"/>
        <v>1</v>
      </c>
      <c r="AJ426" s="231">
        <f t="shared" si="320"/>
        <v>1</v>
      </c>
      <c r="AK426" s="231">
        <f t="shared" si="321"/>
        <v>0</v>
      </c>
      <c r="AL426" s="231">
        <f t="shared" si="322"/>
        <v>1</v>
      </c>
      <c r="AM426" s="231">
        <f t="shared" si="323"/>
        <v>7</v>
      </c>
    </row>
    <row r="427" spans="4:39" x14ac:dyDescent="0.25">
      <c r="D427" s="231">
        <v>269</v>
      </c>
      <c r="E427" s="231" t="s">
        <v>72</v>
      </c>
      <c r="G427" s="231" t="s">
        <v>74</v>
      </c>
      <c r="H427" s="231" t="s">
        <v>69</v>
      </c>
      <c r="I427" s="231" t="s">
        <v>76</v>
      </c>
      <c r="J427" s="231" t="s">
        <v>75</v>
      </c>
      <c r="M427" s="231" t="s">
        <v>515</v>
      </c>
      <c r="N427" s="231" t="s">
        <v>516</v>
      </c>
      <c r="O427" s="232" t="s">
        <v>517</v>
      </c>
      <c r="R427" s="231" t="s">
        <v>573</v>
      </c>
      <c r="S427" s="231" t="s">
        <v>565</v>
      </c>
      <c r="T427" s="231" t="s">
        <v>564</v>
      </c>
      <c r="U427" s="231" t="s">
        <v>572</v>
      </c>
      <c r="V427" s="231" t="s">
        <v>575</v>
      </c>
      <c r="W427" s="231" t="s">
        <v>567</v>
      </c>
      <c r="X427" s="231" t="s">
        <v>566</v>
      </c>
      <c r="Y427" s="231" t="s">
        <v>571</v>
      </c>
      <c r="AA427" s="231">
        <f t="shared" si="311"/>
        <v>0</v>
      </c>
      <c r="AB427" s="231">
        <f t="shared" si="312"/>
        <v>0</v>
      </c>
      <c r="AC427" s="231">
        <f t="shared" si="313"/>
        <v>1</v>
      </c>
      <c r="AD427" s="231">
        <f t="shared" si="314"/>
        <v>1</v>
      </c>
      <c r="AE427" s="231">
        <f t="shared" si="315"/>
        <v>1</v>
      </c>
      <c r="AF427" s="231">
        <f t="shared" si="316"/>
        <v>1</v>
      </c>
      <c r="AG427" s="231">
        <f t="shared" si="317"/>
        <v>0</v>
      </c>
      <c r="AH427" s="231">
        <f t="shared" si="318"/>
        <v>0</v>
      </c>
      <c r="AI427" s="231">
        <f t="shared" si="319"/>
        <v>1</v>
      </c>
      <c r="AJ427" s="231">
        <f t="shared" si="320"/>
        <v>1</v>
      </c>
      <c r="AK427" s="231">
        <f t="shared" si="321"/>
        <v>0</v>
      </c>
      <c r="AL427" s="231">
        <f t="shared" si="322"/>
        <v>0</v>
      </c>
      <c r="AM427" s="231">
        <f t="shared" si="323"/>
        <v>6</v>
      </c>
    </row>
    <row r="428" spans="4:39" x14ac:dyDescent="0.25">
      <c r="D428" s="231">
        <v>270</v>
      </c>
      <c r="E428" s="231" t="s">
        <v>72</v>
      </c>
      <c r="G428" s="231" t="s">
        <v>74</v>
      </c>
      <c r="H428" s="231" t="s">
        <v>69</v>
      </c>
      <c r="I428" s="231" t="s">
        <v>76</v>
      </c>
      <c r="J428" s="231" t="s">
        <v>75</v>
      </c>
      <c r="L428" s="231" t="s">
        <v>78</v>
      </c>
      <c r="O428" s="232" t="s">
        <v>517</v>
      </c>
      <c r="P428" s="231" t="s">
        <v>70</v>
      </c>
      <c r="R428" s="231" t="s">
        <v>568</v>
      </c>
      <c r="S428" s="231" t="s">
        <v>564</v>
      </c>
      <c r="T428" s="231" t="s">
        <v>567</v>
      </c>
      <c r="U428" s="231" t="s">
        <v>573</v>
      </c>
      <c r="V428" s="231" t="s">
        <v>575</v>
      </c>
      <c r="W428" s="231" t="s">
        <v>572</v>
      </c>
      <c r="X428" s="231" t="s">
        <v>570</v>
      </c>
      <c r="Y428" s="231" t="s">
        <v>571</v>
      </c>
      <c r="AA428" s="231">
        <f t="shared" si="311"/>
        <v>0</v>
      </c>
      <c r="AB428" s="231">
        <f t="shared" si="312"/>
        <v>0</v>
      </c>
      <c r="AC428" s="231">
        <f t="shared" si="313"/>
        <v>1</v>
      </c>
      <c r="AD428" s="231">
        <f t="shared" si="314"/>
        <v>1</v>
      </c>
      <c r="AE428" s="231">
        <f t="shared" si="315"/>
        <v>1</v>
      </c>
      <c r="AF428" s="231">
        <f t="shared" si="316"/>
        <v>1</v>
      </c>
      <c r="AG428" s="231">
        <f t="shared" si="317"/>
        <v>0</v>
      </c>
      <c r="AH428" s="231">
        <f t="shared" si="318"/>
        <v>0</v>
      </c>
      <c r="AI428" s="231">
        <f t="shared" si="319"/>
        <v>0</v>
      </c>
      <c r="AJ428" s="231">
        <f t="shared" si="320"/>
        <v>0</v>
      </c>
      <c r="AK428" s="231">
        <f t="shared" si="321"/>
        <v>0</v>
      </c>
      <c r="AL428" s="231">
        <f t="shared" si="322"/>
        <v>1</v>
      </c>
      <c r="AM428" s="231">
        <f t="shared" si="323"/>
        <v>5</v>
      </c>
    </row>
    <row r="429" spans="4:39" x14ac:dyDescent="0.25">
      <c r="D429" s="231">
        <v>271</v>
      </c>
      <c r="E429" s="231" t="s">
        <v>72</v>
      </c>
      <c r="G429" s="231" t="s">
        <v>74</v>
      </c>
      <c r="H429" s="231" t="s">
        <v>69</v>
      </c>
      <c r="I429" s="231" t="s">
        <v>76</v>
      </c>
      <c r="J429" s="231" t="s">
        <v>75</v>
      </c>
      <c r="L429" s="231" t="s">
        <v>78</v>
      </c>
      <c r="N429" s="231" t="s">
        <v>516</v>
      </c>
      <c r="P429" s="231" t="s">
        <v>70</v>
      </c>
      <c r="R429" s="231" t="s">
        <v>568</v>
      </c>
      <c r="S429" s="231" t="s">
        <v>565</v>
      </c>
      <c r="T429" s="231" t="s">
        <v>567</v>
      </c>
      <c r="U429" s="231" t="s">
        <v>573</v>
      </c>
      <c r="V429" s="231" t="s">
        <v>575</v>
      </c>
      <c r="W429" s="231" t="s">
        <v>572</v>
      </c>
      <c r="X429" s="231" t="s">
        <v>570</v>
      </c>
      <c r="Y429" s="231" t="s">
        <v>564</v>
      </c>
      <c r="AA429" s="231">
        <f t="shared" si="311"/>
        <v>0</v>
      </c>
      <c r="AB429" s="231">
        <f t="shared" si="312"/>
        <v>0</v>
      </c>
      <c r="AC429" s="231">
        <f t="shared" si="313"/>
        <v>1</v>
      </c>
      <c r="AD429" s="231">
        <f t="shared" si="314"/>
        <v>1</v>
      </c>
      <c r="AE429" s="231">
        <f t="shared" si="315"/>
        <v>1</v>
      </c>
      <c r="AF429" s="231">
        <f t="shared" si="316"/>
        <v>1</v>
      </c>
      <c r="AG429" s="231">
        <f t="shared" si="317"/>
        <v>0</v>
      </c>
      <c r="AH429" s="231">
        <f t="shared" si="318"/>
        <v>0</v>
      </c>
      <c r="AI429" s="231">
        <f t="shared" si="319"/>
        <v>0</v>
      </c>
      <c r="AJ429" s="231">
        <f t="shared" si="320"/>
        <v>1</v>
      </c>
      <c r="AK429" s="231">
        <f t="shared" si="321"/>
        <v>0</v>
      </c>
      <c r="AL429" s="231">
        <f t="shared" si="322"/>
        <v>1</v>
      </c>
      <c r="AM429" s="231">
        <f t="shared" si="323"/>
        <v>6</v>
      </c>
    </row>
    <row r="430" spans="4:39" x14ac:dyDescent="0.25">
      <c r="D430" s="231">
        <v>272</v>
      </c>
      <c r="E430" s="231" t="s">
        <v>72</v>
      </c>
      <c r="G430" s="231" t="s">
        <v>74</v>
      </c>
      <c r="H430" s="231" t="s">
        <v>69</v>
      </c>
      <c r="I430" s="231" t="s">
        <v>76</v>
      </c>
      <c r="J430" s="231" t="s">
        <v>75</v>
      </c>
      <c r="L430" s="231" t="s">
        <v>78</v>
      </c>
      <c r="N430" s="231" t="s">
        <v>516</v>
      </c>
      <c r="O430" s="232" t="s">
        <v>517</v>
      </c>
      <c r="R430" s="231" t="s">
        <v>568</v>
      </c>
      <c r="S430" s="231" t="s">
        <v>565</v>
      </c>
      <c r="T430" s="231" t="s">
        <v>564</v>
      </c>
      <c r="U430" s="231" t="s">
        <v>573</v>
      </c>
      <c r="V430" s="231" t="s">
        <v>575</v>
      </c>
      <c r="W430" s="231" t="s">
        <v>567</v>
      </c>
      <c r="X430" s="231" t="s">
        <v>572</v>
      </c>
      <c r="Y430" s="231" t="s">
        <v>571</v>
      </c>
      <c r="AA430" s="231">
        <f t="shared" si="311"/>
        <v>0</v>
      </c>
      <c r="AB430" s="231">
        <f t="shared" si="312"/>
        <v>0</v>
      </c>
      <c r="AC430" s="231">
        <f t="shared" si="313"/>
        <v>1</v>
      </c>
      <c r="AD430" s="231">
        <f t="shared" si="314"/>
        <v>1</v>
      </c>
      <c r="AE430" s="231">
        <f t="shared" si="315"/>
        <v>1</v>
      </c>
      <c r="AF430" s="231">
        <f t="shared" si="316"/>
        <v>1</v>
      </c>
      <c r="AG430" s="231">
        <f t="shared" si="317"/>
        <v>0</v>
      </c>
      <c r="AH430" s="231">
        <f t="shared" si="318"/>
        <v>0</v>
      </c>
      <c r="AI430" s="231">
        <f t="shared" si="319"/>
        <v>0</v>
      </c>
      <c r="AJ430" s="231">
        <f t="shared" si="320"/>
        <v>1</v>
      </c>
      <c r="AK430" s="231">
        <f t="shared" si="321"/>
        <v>0</v>
      </c>
      <c r="AL430" s="231">
        <f t="shared" si="322"/>
        <v>0</v>
      </c>
      <c r="AM430" s="231">
        <f t="shared" si="323"/>
        <v>5</v>
      </c>
    </row>
    <row r="431" spans="4:39" x14ac:dyDescent="0.25">
      <c r="D431" s="231">
        <v>273</v>
      </c>
      <c r="E431" s="231" t="s">
        <v>72</v>
      </c>
      <c r="G431" s="231" t="s">
        <v>74</v>
      </c>
      <c r="H431" s="231" t="s">
        <v>69</v>
      </c>
      <c r="I431" s="231" t="s">
        <v>76</v>
      </c>
      <c r="J431" s="231" t="s">
        <v>75</v>
      </c>
      <c r="L431" s="231" t="s">
        <v>78</v>
      </c>
      <c r="M431" s="231" t="s">
        <v>515</v>
      </c>
      <c r="P431" s="231" t="s">
        <v>70</v>
      </c>
      <c r="R431" s="231" t="s">
        <v>568</v>
      </c>
      <c r="S431" s="231" t="s">
        <v>564</v>
      </c>
      <c r="T431" s="231" t="s">
        <v>567</v>
      </c>
      <c r="U431" s="231" t="s">
        <v>573</v>
      </c>
      <c r="V431" s="231" t="s">
        <v>575</v>
      </c>
      <c r="W431" s="231" t="s">
        <v>572</v>
      </c>
      <c r="X431" s="231" t="s">
        <v>570</v>
      </c>
      <c r="Y431" s="231" t="s">
        <v>566</v>
      </c>
      <c r="AA431" s="231">
        <f t="shared" si="311"/>
        <v>0</v>
      </c>
      <c r="AB431" s="231">
        <f t="shared" si="312"/>
        <v>0</v>
      </c>
      <c r="AC431" s="231">
        <f t="shared" si="313"/>
        <v>1</v>
      </c>
      <c r="AD431" s="231">
        <f t="shared" si="314"/>
        <v>1</v>
      </c>
      <c r="AE431" s="231">
        <f t="shared" si="315"/>
        <v>1</v>
      </c>
      <c r="AF431" s="231">
        <f t="shared" si="316"/>
        <v>1</v>
      </c>
      <c r="AG431" s="231">
        <f t="shared" si="317"/>
        <v>0</v>
      </c>
      <c r="AH431" s="231">
        <f t="shared" si="318"/>
        <v>0</v>
      </c>
      <c r="AI431" s="231">
        <f t="shared" si="319"/>
        <v>1</v>
      </c>
      <c r="AJ431" s="231">
        <f t="shared" si="320"/>
        <v>0</v>
      </c>
      <c r="AK431" s="231">
        <f t="shared" si="321"/>
        <v>0</v>
      </c>
      <c r="AL431" s="231">
        <f t="shared" si="322"/>
        <v>1</v>
      </c>
      <c r="AM431" s="231">
        <f t="shared" si="323"/>
        <v>6</v>
      </c>
    </row>
    <row r="432" spans="4:39" x14ac:dyDescent="0.25">
      <c r="D432" s="231">
        <v>274</v>
      </c>
      <c r="E432" s="231" t="s">
        <v>72</v>
      </c>
      <c r="G432" s="231" t="s">
        <v>74</v>
      </c>
      <c r="H432" s="231" t="s">
        <v>69</v>
      </c>
      <c r="I432" s="231" t="s">
        <v>76</v>
      </c>
      <c r="J432" s="231" t="s">
        <v>75</v>
      </c>
      <c r="L432" s="231" t="s">
        <v>78</v>
      </c>
      <c r="M432" s="231" t="s">
        <v>515</v>
      </c>
      <c r="O432" s="232" t="s">
        <v>517</v>
      </c>
      <c r="R432" s="231" t="s">
        <v>568</v>
      </c>
      <c r="S432" s="231" t="s">
        <v>564</v>
      </c>
      <c r="T432" s="231" t="s">
        <v>567</v>
      </c>
      <c r="U432" s="231" t="s">
        <v>573</v>
      </c>
      <c r="V432" s="231" t="s">
        <v>575</v>
      </c>
      <c r="W432" s="231" t="s">
        <v>572</v>
      </c>
      <c r="X432" s="231" t="s">
        <v>566</v>
      </c>
      <c r="Y432" s="231" t="s">
        <v>571</v>
      </c>
      <c r="AA432" s="231">
        <f t="shared" si="311"/>
        <v>0</v>
      </c>
      <c r="AB432" s="231">
        <f t="shared" si="312"/>
        <v>0</v>
      </c>
      <c r="AC432" s="231">
        <f t="shared" si="313"/>
        <v>1</v>
      </c>
      <c r="AD432" s="231">
        <f t="shared" si="314"/>
        <v>1</v>
      </c>
      <c r="AE432" s="231">
        <f t="shared" si="315"/>
        <v>1</v>
      </c>
      <c r="AF432" s="231">
        <f t="shared" si="316"/>
        <v>1</v>
      </c>
      <c r="AG432" s="231">
        <f t="shared" si="317"/>
        <v>0</v>
      </c>
      <c r="AH432" s="231">
        <f t="shared" si="318"/>
        <v>0</v>
      </c>
      <c r="AI432" s="231">
        <f t="shared" si="319"/>
        <v>1</v>
      </c>
      <c r="AJ432" s="231">
        <f t="shared" si="320"/>
        <v>0</v>
      </c>
      <c r="AK432" s="231">
        <f t="shared" si="321"/>
        <v>0</v>
      </c>
      <c r="AL432" s="231">
        <f t="shared" si="322"/>
        <v>0</v>
      </c>
      <c r="AM432" s="231">
        <f t="shared" si="323"/>
        <v>5</v>
      </c>
    </row>
    <row r="433" spans="4:39" x14ac:dyDescent="0.25">
      <c r="D433" s="231">
        <v>275</v>
      </c>
      <c r="E433" s="231" t="s">
        <v>72</v>
      </c>
      <c r="G433" s="231" t="s">
        <v>74</v>
      </c>
      <c r="H433" s="231" t="s">
        <v>69</v>
      </c>
      <c r="I433" s="231" t="s">
        <v>76</v>
      </c>
      <c r="J433" s="231" t="s">
        <v>75</v>
      </c>
      <c r="L433" s="231" t="s">
        <v>78</v>
      </c>
      <c r="M433" s="231" t="s">
        <v>515</v>
      </c>
      <c r="N433" s="231" t="s">
        <v>516</v>
      </c>
      <c r="R433" s="231" t="s">
        <v>568</v>
      </c>
      <c r="S433" s="231" t="s">
        <v>565</v>
      </c>
      <c r="T433" s="231" t="s">
        <v>564</v>
      </c>
      <c r="U433" s="231" t="s">
        <v>573</v>
      </c>
      <c r="V433" s="231" t="s">
        <v>575</v>
      </c>
      <c r="W433" s="231" t="s">
        <v>567</v>
      </c>
      <c r="X433" s="231" t="s">
        <v>572</v>
      </c>
      <c r="Y433" s="231" t="s">
        <v>566</v>
      </c>
      <c r="AA433" s="231">
        <f t="shared" si="311"/>
        <v>0</v>
      </c>
      <c r="AB433" s="231">
        <f t="shared" si="312"/>
        <v>0</v>
      </c>
      <c r="AC433" s="231">
        <f t="shared" si="313"/>
        <v>1</v>
      </c>
      <c r="AD433" s="231">
        <f t="shared" si="314"/>
        <v>1</v>
      </c>
      <c r="AE433" s="231">
        <f t="shared" si="315"/>
        <v>1</v>
      </c>
      <c r="AF433" s="231">
        <f t="shared" si="316"/>
        <v>1</v>
      </c>
      <c r="AG433" s="231">
        <f t="shared" si="317"/>
        <v>0</v>
      </c>
      <c r="AH433" s="231">
        <f t="shared" si="318"/>
        <v>0</v>
      </c>
      <c r="AI433" s="231">
        <f t="shared" si="319"/>
        <v>1</v>
      </c>
      <c r="AJ433" s="231">
        <f t="shared" si="320"/>
        <v>1</v>
      </c>
      <c r="AK433" s="231">
        <f t="shared" si="321"/>
        <v>0</v>
      </c>
      <c r="AL433" s="231">
        <f t="shared" si="322"/>
        <v>0</v>
      </c>
      <c r="AM433" s="231">
        <f t="shared" si="323"/>
        <v>6</v>
      </c>
    </row>
    <row r="434" spans="4:39" x14ac:dyDescent="0.25">
      <c r="D434" s="231">
        <v>276</v>
      </c>
      <c r="E434" s="231" t="s">
        <v>72</v>
      </c>
      <c r="G434" s="231" t="s">
        <v>74</v>
      </c>
      <c r="H434" s="231" t="s">
        <v>69</v>
      </c>
      <c r="I434" s="231" t="s">
        <v>76</v>
      </c>
      <c r="J434" s="231" t="s">
        <v>75</v>
      </c>
      <c r="K434" s="231" t="s">
        <v>77</v>
      </c>
      <c r="O434" s="232" t="s">
        <v>517</v>
      </c>
      <c r="P434" s="231" t="s">
        <v>70</v>
      </c>
      <c r="R434" s="231" t="s">
        <v>573</v>
      </c>
      <c r="S434" s="231" t="s">
        <v>569</v>
      </c>
      <c r="T434" s="231" t="s">
        <v>564</v>
      </c>
      <c r="U434" s="231" t="s">
        <v>572</v>
      </c>
      <c r="V434" s="231" t="s">
        <v>575</v>
      </c>
      <c r="W434" s="231" t="s">
        <v>567</v>
      </c>
      <c r="X434" s="231" t="s">
        <v>570</v>
      </c>
      <c r="Y434" s="231" t="s">
        <v>571</v>
      </c>
      <c r="AA434" s="231">
        <f t="shared" si="311"/>
        <v>0</v>
      </c>
      <c r="AB434" s="231">
        <f t="shared" si="312"/>
        <v>0</v>
      </c>
      <c r="AC434" s="231">
        <f t="shared" si="313"/>
        <v>1</v>
      </c>
      <c r="AD434" s="231">
        <f t="shared" si="314"/>
        <v>1</v>
      </c>
      <c r="AE434" s="231">
        <f t="shared" si="315"/>
        <v>1</v>
      </c>
      <c r="AF434" s="231">
        <f t="shared" si="316"/>
        <v>1</v>
      </c>
      <c r="AG434" s="231">
        <f t="shared" si="317"/>
        <v>1</v>
      </c>
      <c r="AH434" s="231">
        <f t="shared" si="318"/>
        <v>0</v>
      </c>
      <c r="AI434" s="231">
        <f t="shared" si="319"/>
        <v>0</v>
      </c>
      <c r="AJ434" s="231">
        <f t="shared" si="320"/>
        <v>0</v>
      </c>
      <c r="AK434" s="231">
        <f t="shared" si="321"/>
        <v>0</v>
      </c>
      <c r="AL434" s="231">
        <f t="shared" si="322"/>
        <v>1</v>
      </c>
      <c r="AM434" s="231">
        <f t="shared" si="323"/>
        <v>6</v>
      </c>
    </row>
    <row r="435" spans="4:39" x14ac:dyDescent="0.25">
      <c r="D435" s="231">
        <v>277</v>
      </c>
      <c r="E435" s="231" t="s">
        <v>72</v>
      </c>
      <c r="G435" s="231" t="s">
        <v>74</v>
      </c>
      <c r="H435" s="231" t="s">
        <v>69</v>
      </c>
      <c r="I435" s="231" t="s">
        <v>76</v>
      </c>
      <c r="J435" s="231" t="s">
        <v>75</v>
      </c>
      <c r="K435" s="231" t="s">
        <v>77</v>
      </c>
      <c r="N435" s="231" t="s">
        <v>516</v>
      </c>
      <c r="P435" s="231" t="s">
        <v>70</v>
      </c>
      <c r="R435" s="231" t="s">
        <v>573</v>
      </c>
      <c r="S435" s="231" t="s">
        <v>569</v>
      </c>
      <c r="T435" s="231" t="s">
        <v>565</v>
      </c>
      <c r="U435" s="231" t="s">
        <v>572</v>
      </c>
      <c r="V435" s="231" t="s">
        <v>575</v>
      </c>
      <c r="W435" s="231" t="s">
        <v>567</v>
      </c>
      <c r="X435" s="231" t="s">
        <v>570</v>
      </c>
      <c r="Y435" s="231" t="s">
        <v>564</v>
      </c>
      <c r="AA435" s="231">
        <f t="shared" si="311"/>
        <v>0</v>
      </c>
      <c r="AB435" s="231">
        <f t="shared" si="312"/>
        <v>0</v>
      </c>
      <c r="AC435" s="231">
        <f t="shared" si="313"/>
        <v>1</v>
      </c>
      <c r="AD435" s="231">
        <f t="shared" si="314"/>
        <v>1</v>
      </c>
      <c r="AE435" s="231">
        <f t="shared" si="315"/>
        <v>1</v>
      </c>
      <c r="AF435" s="231">
        <f t="shared" si="316"/>
        <v>1</v>
      </c>
      <c r="AG435" s="231">
        <f t="shared" si="317"/>
        <v>1</v>
      </c>
      <c r="AH435" s="231">
        <f t="shared" si="318"/>
        <v>0</v>
      </c>
      <c r="AI435" s="231">
        <f t="shared" si="319"/>
        <v>0</v>
      </c>
      <c r="AJ435" s="231">
        <f t="shared" si="320"/>
        <v>1</v>
      </c>
      <c r="AK435" s="231">
        <f t="shared" si="321"/>
        <v>0</v>
      </c>
      <c r="AL435" s="231">
        <f t="shared" si="322"/>
        <v>1</v>
      </c>
      <c r="AM435" s="231">
        <f t="shared" si="323"/>
        <v>7</v>
      </c>
    </row>
    <row r="436" spans="4:39" x14ac:dyDescent="0.25">
      <c r="D436" s="231">
        <v>278</v>
      </c>
      <c r="E436" s="231" t="s">
        <v>72</v>
      </c>
      <c r="G436" s="231" t="s">
        <v>74</v>
      </c>
      <c r="H436" s="231" t="s">
        <v>69</v>
      </c>
      <c r="I436" s="231" t="s">
        <v>76</v>
      </c>
      <c r="J436" s="231" t="s">
        <v>75</v>
      </c>
      <c r="K436" s="231" t="s">
        <v>77</v>
      </c>
      <c r="N436" s="231" t="s">
        <v>516</v>
      </c>
      <c r="O436" s="232" t="s">
        <v>517</v>
      </c>
      <c r="R436" s="231" t="s">
        <v>573</v>
      </c>
      <c r="S436" s="231" t="s">
        <v>569</v>
      </c>
      <c r="T436" s="231" t="s">
        <v>565</v>
      </c>
      <c r="U436" s="231" t="s">
        <v>572</v>
      </c>
      <c r="V436" s="231" t="s">
        <v>575</v>
      </c>
      <c r="W436" s="231" t="s">
        <v>567</v>
      </c>
      <c r="X436" s="231" t="s">
        <v>564</v>
      </c>
      <c r="Y436" s="231" t="s">
        <v>571</v>
      </c>
      <c r="AA436" s="231">
        <f t="shared" si="311"/>
        <v>0</v>
      </c>
      <c r="AB436" s="231">
        <f t="shared" si="312"/>
        <v>0</v>
      </c>
      <c r="AC436" s="231">
        <f t="shared" si="313"/>
        <v>1</v>
      </c>
      <c r="AD436" s="231">
        <f t="shared" si="314"/>
        <v>1</v>
      </c>
      <c r="AE436" s="231">
        <f t="shared" si="315"/>
        <v>1</v>
      </c>
      <c r="AF436" s="231">
        <f t="shared" si="316"/>
        <v>1</v>
      </c>
      <c r="AG436" s="231">
        <f t="shared" si="317"/>
        <v>1</v>
      </c>
      <c r="AH436" s="231">
        <f t="shared" si="318"/>
        <v>0</v>
      </c>
      <c r="AI436" s="231">
        <f t="shared" si="319"/>
        <v>0</v>
      </c>
      <c r="AJ436" s="231">
        <f t="shared" si="320"/>
        <v>1</v>
      </c>
      <c r="AK436" s="231">
        <f t="shared" si="321"/>
        <v>0</v>
      </c>
      <c r="AL436" s="231">
        <f t="shared" si="322"/>
        <v>0</v>
      </c>
      <c r="AM436" s="231">
        <f t="shared" si="323"/>
        <v>6</v>
      </c>
    </row>
    <row r="437" spans="4:39" x14ac:dyDescent="0.25">
      <c r="D437" s="231">
        <v>279</v>
      </c>
      <c r="E437" s="231" t="s">
        <v>72</v>
      </c>
      <c r="G437" s="231" t="s">
        <v>74</v>
      </c>
      <c r="H437" s="231" t="s">
        <v>69</v>
      </c>
      <c r="I437" s="231" t="s">
        <v>76</v>
      </c>
      <c r="J437" s="231" t="s">
        <v>75</v>
      </c>
      <c r="K437" s="231" t="s">
        <v>77</v>
      </c>
      <c r="M437" s="231" t="s">
        <v>515</v>
      </c>
      <c r="P437" s="231" t="s">
        <v>70</v>
      </c>
      <c r="R437" s="231" t="s">
        <v>573</v>
      </c>
      <c r="S437" s="231" t="s">
        <v>569</v>
      </c>
      <c r="T437" s="231" t="s">
        <v>564</v>
      </c>
      <c r="U437" s="231" t="s">
        <v>572</v>
      </c>
      <c r="V437" s="231" t="s">
        <v>575</v>
      </c>
      <c r="W437" s="231" t="s">
        <v>567</v>
      </c>
      <c r="X437" s="231" t="s">
        <v>570</v>
      </c>
      <c r="Y437" s="231" t="s">
        <v>566</v>
      </c>
      <c r="AA437" s="231">
        <f t="shared" si="311"/>
        <v>0</v>
      </c>
      <c r="AB437" s="231">
        <f t="shared" si="312"/>
        <v>0</v>
      </c>
      <c r="AC437" s="231">
        <f t="shared" si="313"/>
        <v>1</v>
      </c>
      <c r="AD437" s="231">
        <f t="shared" si="314"/>
        <v>1</v>
      </c>
      <c r="AE437" s="231">
        <f t="shared" si="315"/>
        <v>1</v>
      </c>
      <c r="AF437" s="231">
        <f t="shared" si="316"/>
        <v>1</v>
      </c>
      <c r="AG437" s="231">
        <f t="shared" si="317"/>
        <v>1</v>
      </c>
      <c r="AH437" s="231">
        <f t="shared" si="318"/>
        <v>0</v>
      </c>
      <c r="AI437" s="231">
        <f t="shared" si="319"/>
        <v>1</v>
      </c>
      <c r="AJ437" s="231">
        <f t="shared" si="320"/>
        <v>0</v>
      </c>
      <c r="AK437" s="231">
        <f t="shared" si="321"/>
        <v>0</v>
      </c>
      <c r="AL437" s="231">
        <f t="shared" si="322"/>
        <v>1</v>
      </c>
      <c r="AM437" s="231">
        <f t="shared" si="323"/>
        <v>7</v>
      </c>
    </row>
    <row r="438" spans="4:39" x14ac:dyDescent="0.25">
      <c r="D438" s="231">
        <v>280</v>
      </c>
      <c r="E438" s="231" t="s">
        <v>72</v>
      </c>
      <c r="G438" s="231" t="s">
        <v>74</v>
      </c>
      <c r="H438" s="231" t="s">
        <v>69</v>
      </c>
      <c r="I438" s="231" t="s">
        <v>76</v>
      </c>
      <c r="J438" s="231" t="s">
        <v>75</v>
      </c>
      <c r="K438" s="231" t="s">
        <v>77</v>
      </c>
      <c r="M438" s="231" t="s">
        <v>515</v>
      </c>
      <c r="O438" s="232" t="s">
        <v>517</v>
      </c>
      <c r="R438" s="231" t="s">
        <v>573</v>
      </c>
      <c r="S438" s="231" t="s">
        <v>569</v>
      </c>
      <c r="T438" s="231" t="s">
        <v>564</v>
      </c>
      <c r="U438" s="231" t="s">
        <v>572</v>
      </c>
      <c r="V438" s="231" t="s">
        <v>575</v>
      </c>
      <c r="W438" s="231" t="s">
        <v>567</v>
      </c>
      <c r="X438" s="231" t="s">
        <v>566</v>
      </c>
      <c r="Y438" s="231" t="s">
        <v>571</v>
      </c>
      <c r="AA438" s="231">
        <f t="shared" si="311"/>
        <v>0</v>
      </c>
      <c r="AB438" s="231">
        <f t="shared" si="312"/>
        <v>0</v>
      </c>
      <c r="AC438" s="231">
        <f t="shared" si="313"/>
        <v>1</v>
      </c>
      <c r="AD438" s="231">
        <f t="shared" si="314"/>
        <v>1</v>
      </c>
      <c r="AE438" s="231">
        <f t="shared" si="315"/>
        <v>1</v>
      </c>
      <c r="AF438" s="231">
        <f t="shared" si="316"/>
        <v>1</v>
      </c>
      <c r="AG438" s="231">
        <f t="shared" si="317"/>
        <v>1</v>
      </c>
      <c r="AH438" s="231">
        <f t="shared" si="318"/>
        <v>0</v>
      </c>
      <c r="AI438" s="231">
        <f t="shared" si="319"/>
        <v>1</v>
      </c>
      <c r="AJ438" s="231">
        <f t="shared" si="320"/>
        <v>0</v>
      </c>
      <c r="AK438" s="231">
        <f t="shared" si="321"/>
        <v>0</v>
      </c>
      <c r="AL438" s="231">
        <f t="shared" si="322"/>
        <v>0</v>
      </c>
      <c r="AM438" s="231">
        <f t="shared" si="323"/>
        <v>6</v>
      </c>
    </row>
    <row r="439" spans="4:39" x14ac:dyDescent="0.25">
      <c r="D439" s="231">
        <v>281</v>
      </c>
      <c r="E439" s="231" t="s">
        <v>72</v>
      </c>
      <c r="G439" s="231" t="s">
        <v>74</v>
      </c>
      <c r="H439" s="231" t="s">
        <v>69</v>
      </c>
      <c r="I439" s="231" t="s">
        <v>76</v>
      </c>
      <c r="J439" s="231" t="s">
        <v>75</v>
      </c>
      <c r="K439" s="231" t="s">
        <v>77</v>
      </c>
      <c r="M439" s="231" t="s">
        <v>515</v>
      </c>
      <c r="N439" s="231" t="s">
        <v>516</v>
      </c>
      <c r="R439" s="231" t="s">
        <v>573</v>
      </c>
      <c r="S439" s="231" t="s">
        <v>569</v>
      </c>
      <c r="T439" s="231" t="s">
        <v>565</v>
      </c>
      <c r="U439" s="231" t="s">
        <v>572</v>
      </c>
      <c r="V439" s="231" t="s">
        <v>575</v>
      </c>
      <c r="W439" s="231" t="s">
        <v>567</v>
      </c>
      <c r="X439" s="231" t="s">
        <v>564</v>
      </c>
      <c r="Y439" s="231" t="s">
        <v>566</v>
      </c>
      <c r="AA439" s="231">
        <f t="shared" si="311"/>
        <v>0</v>
      </c>
      <c r="AB439" s="231">
        <f t="shared" si="312"/>
        <v>0</v>
      </c>
      <c r="AC439" s="231">
        <f t="shared" si="313"/>
        <v>1</v>
      </c>
      <c r="AD439" s="231">
        <f t="shared" si="314"/>
        <v>1</v>
      </c>
      <c r="AE439" s="231">
        <f t="shared" si="315"/>
        <v>1</v>
      </c>
      <c r="AF439" s="231">
        <f t="shared" si="316"/>
        <v>1</v>
      </c>
      <c r="AG439" s="231">
        <f t="shared" si="317"/>
        <v>1</v>
      </c>
      <c r="AH439" s="231">
        <f t="shared" si="318"/>
        <v>0</v>
      </c>
      <c r="AI439" s="231">
        <f t="shared" si="319"/>
        <v>1</v>
      </c>
      <c r="AJ439" s="231">
        <f t="shared" si="320"/>
        <v>1</v>
      </c>
      <c r="AK439" s="231">
        <f t="shared" si="321"/>
        <v>0</v>
      </c>
      <c r="AL439" s="231">
        <f t="shared" si="322"/>
        <v>0</v>
      </c>
      <c r="AM439" s="231">
        <f t="shared" si="323"/>
        <v>7</v>
      </c>
    </row>
    <row r="440" spans="4:39" x14ac:dyDescent="0.25">
      <c r="D440" s="231">
        <v>282</v>
      </c>
      <c r="E440" s="231" t="s">
        <v>72</v>
      </c>
      <c r="G440" s="231" t="s">
        <v>74</v>
      </c>
      <c r="H440" s="231" t="s">
        <v>69</v>
      </c>
      <c r="I440" s="231" t="s">
        <v>76</v>
      </c>
      <c r="J440" s="231" t="s">
        <v>75</v>
      </c>
      <c r="K440" s="231" t="s">
        <v>77</v>
      </c>
      <c r="L440" s="231" t="s">
        <v>78</v>
      </c>
      <c r="P440" s="231" t="s">
        <v>70</v>
      </c>
      <c r="R440" s="231" t="s">
        <v>568</v>
      </c>
      <c r="S440" s="231" t="s">
        <v>569</v>
      </c>
      <c r="T440" s="231" t="s">
        <v>567</v>
      </c>
      <c r="U440" s="231" t="s">
        <v>573</v>
      </c>
      <c r="V440" s="231" t="s">
        <v>575</v>
      </c>
      <c r="W440" s="231" t="s">
        <v>572</v>
      </c>
      <c r="X440" s="231" t="s">
        <v>570</v>
      </c>
      <c r="Y440" s="231" t="s">
        <v>564</v>
      </c>
      <c r="AA440" s="231">
        <f t="shared" si="311"/>
        <v>0</v>
      </c>
      <c r="AB440" s="231">
        <f t="shared" si="312"/>
        <v>0</v>
      </c>
      <c r="AC440" s="231">
        <f t="shared" si="313"/>
        <v>1</v>
      </c>
      <c r="AD440" s="231">
        <f t="shared" si="314"/>
        <v>1</v>
      </c>
      <c r="AE440" s="231">
        <f t="shared" si="315"/>
        <v>1</v>
      </c>
      <c r="AF440" s="231">
        <f t="shared" si="316"/>
        <v>1</v>
      </c>
      <c r="AG440" s="231">
        <f t="shared" si="317"/>
        <v>1</v>
      </c>
      <c r="AH440" s="231">
        <f t="shared" si="318"/>
        <v>0</v>
      </c>
      <c r="AI440" s="231">
        <f t="shared" si="319"/>
        <v>0</v>
      </c>
      <c r="AJ440" s="231">
        <f t="shared" si="320"/>
        <v>0</v>
      </c>
      <c r="AK440" s="231">
        <f t="shared" si="321"/>
        <v>0</v>
      </c>
      <c r="AL440" s="231">
        <f t="shared" si="322"/>
        <v>1</v>
      </c>
      <c r="AM440" s="231">
        <f t="shared" si="323"/>
        <v>6</v>
      </c>
    </row>
    <row r="441" spans="4:39" x14ac:dyDescent="0.25">
      <c r="D441" s="231">
        <v>283</v>
      </c>
      <c r="E441" s="231" t="s">
        <v>72</v>
      </c>
      <c r="G441" s="231" t="s">
        <v>74</v>
      </c>
      <c r="H441" s="231" t="s">
        <v>69</v>
      </c>
      <c r="I441" s="231" t="s">
        <v>76</v>
      </c>
      <c r="J441" s="231" t="s">
        <v>75</v>
      </c>
      <c r="K441" s="231" t="s">
        <v>77</v>
      </c>
      <c r="L441" s="231" t="s">
        <v>78</v>
      </c>
      <c r="O441" s="232" t="s">
        <v>517</v>
      </c>
      <c r="R441" s="231" t="s">
        <v>568</v>
      </c>
      <c r="S441" s="231" t="s">
        <v>569</v>
      </c>
      <c r="T441" s="231" t="s">
        <v>564</v>
      </c>
      <c r="U441" s="231" t="s">
        <v>573</v>
      </c>
      <c r="V441" s="231" t="s">
        <v>575</v>
      </c>
      <c r="W441" s="231" t="s">
        <v>567</v>
      </c>
      <c r="X441" s="231" t="s">
        <v>572</v>
      </c>
      <c r="Y441" s="231" t="s">
        <v>571</v>
      </c>
      <c r="AA441" s="231">
        <f t="shared" si="311"/>
        <v>0</v>
      </c>
      <c r="AB441" s="231">
        <f t="shared" si="312"/>
        <v>0</v>
      </c>
      <c r="AC441" s="231">
        <f t="shared" si="313"/>
        <v>1</v>
      </c>
      <c r="AD441" s="231">
        <f t="shared" si="314"/>
        <v>1</v>
      </c>
      <c r="AE441" s="231">
        <f t="shared" si="315"/>
        <v>1</v>
      </c>
      <c r="AF441" s="231">
        <f t="shared" si="316"/>
        <v>1</v>
      </c>
      <c r="AG441" s="231">
        <f t="shared" si="317"/>
        <v>1</v>
      </c>
      <c r="AH441" s="231">
        <f t="shared" si="318"/>
        <v>0</v>
      </c>
      <c r="AI441" s="231">
        <f t="shared" si="319"/>
        <v>0</v>
      </c>
      <c r="AJ441" s="231">
        <f t="shared" si="320"/>
        <v>0</v>
      </c>
      <c r="AK441" s="231">
        <f t="shared" si="321"/>
        <v>0</v>
      </c>
      <c r="AL441" s="231">
        <f t="shared" si="322"/>
        <v>0</v>
      </c>
      <c r="AM441" s="231">
        <f t="shared" si="323"/>
        <v>5</v>
      </c>
    </row>
    <row r="442" spans="4:39" x14ac:dyDescent="0.25">
      <c r="D442" s="231">
        <v>284</v>
      </c>
      <c r="E442" s="231" t="s">
        <v>72</v>
      </c>
      <c r="G442" s="231" t="s">
        <v>74</v>
      </c>
      <c r="H442" s="231" t="s">
        <v>69</v>
      </c>
      <c r="I442" s="231" t="s">
        <v>76</v>
      </c>
      <c r="J442" s="231" t="s">
        <v>75</v>
      </c>
      <c r="K442" s="231" t="s">
        <v>77</v>
      </c>
      <c r="L442" s="231" t="s">
        <v>78</v>
      </c>
      <c r="N442" s="231" t="s">
        <v>516</v>
      </c>
      <c r="R442" s="231" t="s">
        <v>568</v>
      </c>
      <c r="S442" s="231" t="s">
        <v>569</v>
      </c>
      <c r="T442" s="231" t="s">
        <v>565</v>
      </c>
      <c r="U442" s="231" t="s">
        <v>573</v>
      </c>
      <c r="V442" s="231" t="s">
        <v>575</v>
      </c>
      <c r="W442" s="231" t="s">
        <v>567</v>
      </c>
      <c r="X442" s="231" t="s">
        <v>572</v>
      </c>
      <c r="Y442" s="231" t="s">
        <v>564</v>
      </c>
      <c r="AA442" s="231">
        <f t="shared" si="311"/>
        <v>0</v>
      </c>
      <c r="AB442" s="231">
        <f t="shared" si="312"/>
        <v>0</v>
      </c>
      <c r="AC442" s="231">
        <f t="shared" si="313"/>
        <v>1</v>
      </c>
      <c r="AD442" s="231">
        <f t="shared" si="314"/>
        <v>1</v>
      </c>
      <c r="AE442" s="231">
        <f t="shared" si="315"/>
        <v>1</v>
      </c>
      <c r="AF442" s="231">
        <f t="shared" si="316"/>
        <v>1</v>
      </c>
      <c r="AG442" s="231">
        <f t="shared" si="317"/>
        <v>1</v>
      </c>
      <c r="AH442" s="231">
        <f t="shared" si="318"/>
        <v>0</v>
      </c>
      <c r="AI442" s="231">
        <f t="shared" si="319"/>
        <v>0</v>
      </c>
      <c r="AJ442" s="231">
        <f t="shared" si="320"/>
        <v>1</v>
      </c>
      <c r="AK442" s="231">
        <f t="shared" si="321"/>
        <v>0</v>
      </c>
      <c r="AL442" s="231">
        <f t="shared" si="322"/>
        <v>0</v>
      </c>
      <c r="AM442" s="231">
        <f t="shared" si="323"/>
        <v>6</v>
      </c>
    </row>
    <row r="443" spans="4:39" x14ac:dyDescent="0.25">
      <c r="D443" s="231">
        <v>285</v>
      </c>
      <c r="E443" s="231" t="s">
        <v>72</v>
      </c>
      <c r="G443" s="231" t="s">
        <v>74</v>
      </c>
      <c r="H443" s="231" t="s">
        <v>69</v>
      </c>
      <c r="I443" s="231" t="s">
        <v>76</v>
      </c>
      <c r="J443" s="231" t="s">
        <v>75</v>
      </c>
      <c r="K443" s="231" t="s">
        <v>77</v>
      </c>
      <c r="L443" s="231" t="s">
        <v>78</v>
      </c>
      <c r="M443" s="231" t="s">
        <v>515</v>
      </c>
      <c r="R443" s="231" t="s">
        <v>568</v>
      </c>
      <c r="S443" s="231" t="s">
        <v>569</v>
      </c>
      <c r="T443" s="231" t="s">
        <v>564</v>
      </c>
      <c r="U443" s="231" t="s">
        <v>573</v>
      </c>
      <c r="V443" s="231" t="s">
        <v>575</v>
      </c>
      <c r="W443" s="231" t="s">
        <v>567</v>
      </c>
      <c r="X443" s="231" t="s">
        <v>572</v>
      </c>
      <c r="Y443" s="231" t="s">
        <v>566</v>
      </c>
      <c r="AA443" s="231">
        <f t="shared" si="311"/>
        <v>0</v>
      </c>
      <c r="AB443" s="231">
        <f t="shared" si="312"/>
        <v>0</v>
      </c>
      <c r="AC443" s="231">
        <f t="shared" si="313"/>
        <v>1</v>
      </c>
      <c r="AD443" s="231">
        <f t="shared" si="314"/>
        <v>1</v>
      </c>
      <c r="AE443" s="231">
        <f t="shared" si="315"/>
        <v>1</v>
      </c>
      <c r="AF443" s="231">
        <f t="shared" si="316"/>
        <v>1</v>
      </c>
      <c r="AG443" s="231">
        <f t="shared" si="317"/>
        <v>1</v>
      </c>
      <c r="AH443" s="231">
        <f t="shared" si="318"/>
        <v>0</v>
      </c>
      <c r="AI443" s="231">
        <f t="shared" si="319"/>
        <v>1</v>
      </c>
      <c r="AJ443" s="231">
        <f t="shared" si="320"/>
        <v>0</v>
      </c>
      <c r="AK443" s="231">
        <f t="shared" si="321"/>
        <v>0</v>
      </c>
      <c r="AL443" s="231">
        <f t="shared" si="322"/>
        <v>0</v>
      </c>
      <c r="AM443" s="231">
        <f t="shared" si="323"/>
        <v>6</v>
      </c>
    </row>
    <row r="444" spans="4:39" x14ac:dyDescent="0.25">
      <c r="D444" s="231">
        <v>286</v>
      </c>
      <c r="E444" s="231" t="s">
        <v>72</v>
      </c>
      <c r="F444" s="231" t="s">
        <v>73</v>
      </c>
      <c r="K444" s="231" t="s">
        <v>77</v>
      </c>
      <c r="L444" s="231" t="s">
        <v>78</v>
      </c>
      <c r="M444" s="231" t="s">
        <v>515</v>
      </c>
      <c r="N444" s="231" t="s">
        <v>516</v>
      </c>
      <c r="O444" s="232" t="s">
        <v>517</v>
      </c>
      <c r="P444" s="231" t="s">
        <v>70</v>
      </c>
      <c r="R444" s="231" t="s">
        <v>568</v>
      </c>
      <c r="S444" s="231" t="s">
        <v>565</v>
      </c>
      <c r="T444" s="231" t="s">
        <v>574</v>
      </c>
      <c r="U444" s="231" t="s">
        <v>575</v>
      </c>
      <c r="V444" s="231" t="s">
        <v>566</v>
      </c>
      <c r="W444" s="231" t="s">
        <v>569</v>
      </c>
      <c r="X444" s="231" t="s">
        <v>570</v>
      </c>
      <c r="Y444" s="231" t="s">
        <v>571</v>
      </c>
      <c r="AA444" s="231">
        <f t="shared" si="311"/>
        <v>0</v>
      </c>
      <c r="AB444" s="231">
        <f t="shared" si="312"/>
        <v>0</v>
      </c>
      <c r="AC444" s="231">
        <f t="shared" si="313"/>
        <v>0</v>
      </c>
      <c r="AD444" s="231">
        <f t="shared" si="314"/>
        <v>0</v>
      </c>
      <c r="AE444" s="231">
        <f t="shared" si="315"/>
        <v>0</v>
      </c>
      <c r="AF444" s="231">
        <f t="shared" si="316"/>
        <v>0</v>
      </c>
      <c r="AG444" s="231">
        <f t="shared" si="317"/>
        <v>1</v>
      </c>
      <c r="AH444" s="231">
        <f t="shared" si="318"/>
        <v>0</v>
      </c>
      <c r="AI444" s="231">
        <f t="shared" si="319"/>
        <v>1</v>
      </c>
      <c r="AJ444" s="231">
        <f t="shared" si="320"/>
        <v>1</v>
      </c>
      <c r="AK444" s="231">
        <f t="shared" si="321"/>
        <v>0</v>
      </c>
      <c r="AL444" s="231">
        <f t="shared" si="322"/>
        <v>1</v>
      </c>
      <c r="AM444" s="231">
        <f t="shared" si="323"/>
        <v>4</v>
      </c>
    </row>
    <row r="445" spans="4:39" x14ac:dyDescent="0.25">
      <c r="D445" s="231">
        <v>287</v>
      </c>
      <c r="E445" s="231" t="s">
        <v>72</v>
      </c>
      <c r="F445" s="231" t="s">
        <v>73</v>
      </c>
      <c r="J445" s="231" t="s">
        <v>75</v>
      </c>
      <c r="L445" s="231" t="s">
        <v>78</v>
      </c>
      <c r="M445" s="231" t="s">
        <v>515</v>
      </c>
      <c r="N445" s="231" t="s">
        <v>516</v>
      </c>
      <c r="O445" s="232" t="s">
        <v>517</v>
      </c>
      <c r="P445" s="231" t="s">
        <v>70</v>
      </c>
      <c r="R445" s="231" t="s">
        <v>568</v>
      </c>
      <c r="S445" s="231" t="s">
        <v>565</v>
      </c>
      <c r="T445" s="231" t="s">
        <v>574</v>
      </c>
      <c r="U445" s="231" t="s">
        <v>575</v>
      </c>
      <c r="V445" s="231" t="s">
        <v>566</v>
      </c>
      <c r="W445" s="231" t="s">
        <v>567</v>
      </c>
      <c r="X445" s="231" t="s">
        <v>570</v>
      </c>
      <c r="Y445" s="231" t="s">
        <v>571</v>
      </c>
      <c r="AA445" s="231">
        <f t="shared" si="311"/>
        <v>0</v>
      </c>
      <c r="AB445" s="231">
        <f t="shared" si="312"/>
        <v>0</v>
      </c>
      <c r="AC445" s="231">
        <f t="shared" si="313"/>
        <v>0</v>
      </c>
      <c r="AD445" s="231">
        <f t="shared" si="314"/>
        <v>0</v>
      </c>
      <c r="AE445" s="231">
        <f t="shared" si="315"/>
        <v>0</v>
      </c>
      <c r="AF445" s="231">
        <f t="shared" si="316"/>
        <v>1</v>
      </c>
      <c r="AG445" s="231">
        <f t="shared" si="317"/>
        <v>0</v>
      </c>
      <c r="AH445" s="231">
        <f t="shared" si="318"/>
        <v>0</v>
      </c>
      <c r="AI445" s="231">
        <f t="shared" si="319"/>
        <v>1</v>
      </c>
      <c r="AJ445" s="231">
        <f t="shared" si="320"/>
        <v>1</v>
      </c>
      <c r="AK445" s="231">
        <f t="shared" si="321"/>
        <v>0</v>
      </c>
      <c r="AL445" s="231">
        <f t="shared" si="322"/>
        <v>1</v>
      </c>
      <c r="AM445" s="231">
        <f t="shared" si="323"/>
        <v>4</v>
      </c>
    </row>
    <row r="446" spans="4:39" x14ac:dyDescent="0.25">
      <c r="D446" s="231">
        <v>288</v>
      </c>
      <c r="E446" s="231" t="s">
        <v>72</v>
      </c>
      <c r="F446" s="231" t="s">
        <v>73</v>
      </c>
      <c r="J446" s="231" t="s">
        <v>75</v>
      </c>
      <c r="K446" s="231" t="s">
        <v>77</v>
      </c>
      <c r="M446" s="231" t="s">
        <v>515</v>
      </c>
      <c r="N446" s="231" t="s">
        <v>516</v>
      </c>
      <c r="O446" s="232" t="s">
        <v>517</v>
      </c>
      <c r="P446" s="231" t="s">
        <v>70</v>
      </c>
      <c r="R446" s="231" t="s">
        <v>566</v>
      </c>
      <c r="S446" s="231" t="s">
        <v>565</v>
      </c>
      <c r="T446" s="231" t="s">
        <v>574</v>
      </c>
      <c r="U446" s="231" t="s">
        <v>567</v>
      </c>
      <c r="V446" s="231" t="s">
        <v>575</v>
      </c>
      <c r="W446" s="231" t="s">
        <v>569</v>
      </c>
      <c r="X446" s="231" t="s">
        <v>570</v>
      </c>
      <c r="Y446" s="231" t="s">
        <v>571</v>
      </c>
      <c r="AA446" s="231">
        <f t="shared" si="311"/>
        <v>0</v>
      </c>
      <c r="AB446" s="231">
        <f t="shared" si="312"/>
        <v>0</v>
      </c>
      <c r="AC446" s="231">
        <f t="shared" si="313"/>
        <v>0</v>
      </c>
      <c r="AD446" s="231">
        <f t="shared" si="314"/>
        <v>0</v>
      </c>
      <c r="AE446" s="231">
        <f t="shared" si="315"/>
        <v>0</v>
      </c>
      <c r="AF446" s="231">
        <f t="shared" si="316"/>
        <v>1</v>
      </c>
      <c r="AG446" s="231">
        <f t="shared" si="317"/>
        <v>1</v>
      </c>
      <c r="AH446" s="231">
        <f t="shared" si="318"/>
        <v>0</v>
      </c>
      <c r="AI446" s="231">
        <f t="shared" si="319"/>
        <v>1</v>
      </c>
      <c r="AJ446" s="231">
        <f t="shared" si="320"/>
        <v>1</v>
      </c>
      <c r="AK446" s="231">
        <f t="shared" si="321"/>
        <v>0</v>
      </c>
      <c r="AL446" s="231">
        <f t="shared" si="322"/>
        <v>1</v>
      </c>
      <c r="AM446" s="231">
        <f t="shared" si="323"/>
        <v>5</v>
      </c>
    </row>
    <row r="447" spans="4:39" x14ac:dyDescent="0.25">
      <c r="D447" s="231">
        <v>289</v>
      </c>
      <c r="E447" s="231" t="s">
        <v>72</v>
      </c>
      <c r="F447" s="231" t="s">
        <v>73</v>
      </c>
      <c r="J447" s="231" t="s">
        <v>75</v>
      </c>
      <c r="K447" s="231" t="s">
        <v>77</v>
      </c>
      <c r="L447" s="231" t="s">
        <v>78</v>
      </c>
      <c r="N447" s="231" t="s">
        <v>516</v>
      </c>
      <c r="O447" s="232" t="s">
        <v>517</v>
      </c>
      <c r="P447" s="231" t="s">
        <v>70</v>
      </c>
      <c r="R447" s="231" t="s">
        <v>568</v>
      </c>
      <c r="S447" s="231" t="s">
        <v>565</v>
      </c>
      <c r="T447" s="231" t="s">
        <v>574</v>
      </c>
      <c r="U447" s="231" t="s">
        <v>567</v>
      </c>
      <c r="V447" s="231" t="s">
        <v>575</v>
      </c>
      <c r="W447" s="231" t="s">
        <v>569</v>
      </c>
      <c r="X447" s="231" t="s">
        <v>570</v>
      </c>
      <c r="Y447" s="231" t="s">
        <v>571</v>
      </c>
      <c r="AA447" s="231">
        <f t="shared" si="311"/>
        <v>0</v>
      </c>
      <c r="AB447" s="231">
        <f t="shared" si="312"/>
        <v>0</v>
      </c>
      <c r="AC447" s="231">
        <f t="shared" si="313"/>
        <v>0</v>
      </c>
      <c r="AD447" s="231">
        <f t="shared" si="314"/>
        <v>0</v>
      </c>
      <c r="AE447" s="231">
        <f t="shared" si="315"/>
        <v>0</v>
      </c>
      <c r="AF447" s="231">
        <f t="shared" si="316"/>
        <v>1</v>
      </c>
      <c r="AG447" s="231">
        <f t="shared" si="317"/>
        <v>1</v>
      </c>
      <c r="AH447" s="231">
        <f t="shared" si="318"/>
        <v>0</v>
      </c>
      <c r="AI447" s="231">
        <f t="shared" si="319"/>
        <v>0</v>
      </c>
      <c r="AJ447" s="231">
        <f t="shared" si="320"/>
        <v>1</v>
      </c>
      <c r="AK447" s="231">
        <f t="shared" si="321"/>
        <v>0</v>
      </c>
      <c r="AL447" s="231">
        <f t="shared" si="322"/>
        <v>1</v>
      </c>
      <c r="AM447" s="231">
        <f t="shared" si="323"/>
        <v>4</v>
      </c>
    </row>
    <row r="448" spans="4:39" x14ac:dyDescent="0.25">
      <c r="D448" s="231">
        <v>290</v>
      </c>
      <c r="E448" s="231" t="s">
        <v>72</v>
      </c>
      <c r="F448" s="231" t="s">
        <v>73</v>
      </c>
      <c r="J448" s="231" t="s">
        <v>75</v>
      </c>
      <c r="K448" s="231" t="s">
        <v>77</v>
      </c>
      <c r="L448" s="231" t="s">
        <v>78</v>
      </c>
      <c r="M448" s="231" t="s">
        <v>515</v>
      </c>
      <c r="O448" s="232" t="s">
        <v>517</v>
      </c>
      <c r="P448" s="231" t="s">
        <v>70</v>
      </c>
      <c r="R448" s="231" t="s">
        <v>568</v>
      </c>
      <c r="S448" s="231" t="s">
        <v>569</v>
      </c>
      <c r="T448" s="231" t="s">
        <v>574</v>
      </c>
      <c r="U448" s="231" t="s">
        <v>575</v>
      </c>
      <c r="V448" s="231" t="s">
        <v>566</v>
      </c>
      <c r="W448" s="231" t="s">
        <v>567</v>
      </c>
      <c r="X448" s="231" t="s">
        <v>570</v>
      </c>
      <c r="Y448" s="231" t="s">
        <v>571</v>
      </c>
      <c r="AA448" s="231">
        <f t="shared" si="311"/>
        <v>0</v>
      </c>
      <c r="AB448" s="231">
        <f t="shared" si="312"/>
        <v>0</v>
      </c>
      <c r="AC448" s="231">
        <f t="shared" si="313"/>
        <v>0</v>
      </c>
      <c r="AD448" s="231">
        <f t="shared" si="314"/>
        <v>0</v>
      </c>
      <c r="AE448" s="231">
        <f t="shared" si="315"/>
        <v>0</v>
      </c>
      <c r="AF448" s="231">
        <f t="shared" si="316"/>
        <v>1</v>
      </c>
      <c r="AG448" s="231">
        <f t="shared" si="317"/>
        <v>1</v>
      </c>
      <c r="AH448" s="231">
        <f t="shared" si="318"/>
        <v>0</v>
      </c>
      <c r="AI448" s="231">
        <f t="shared" si="319"/>
        <v>1</v>
      </c>
      <c r="AJ448" s="231">
        <f t="shared" si="320"/>
        <v>0</v>
      </c>
      <c r="AK448" s="231">
        <f t="shared" si="321"/>
        <v>0</v>
      </c>
      <c r="AL448" s="231">
        <f t="shared" si="322"/>
        <v>1</v>
      </c>
      <c r="AM448" s="231">
        <f t="shared" si="323"/>
        <v>4</v>
      </c>
    </row>
    <row r="449" spans="4:39" x14ac:dyDescent="0.25">
      <c r="D449" s="231">
        <v>291</v>
      </c>
      <c r="E449" s="231" t="s">
        <v>72</v>
      </c>
      <c r="F449" s="231" t="s">
        <v>73</v>
      </c>
      <c r="J449" s="231" t="s">
        <v>75</v>
      </c>
      <c r="K449" s="231" t="s">
        <v>77</v>
      </c>
      <c r="L449" s="231" t="s">
        <v>78</v>
      </c>
      <c r="M449" s="231" t="s">
        <v>515</v>
      </c>
      <c r="N449" s="231" t="s">
        <v>516</v>
      </c>
      <c r="P449" s="231" t="s">
        <v>70</v>
      </c>
      <c r="R449" s="231" t="s">
        <v>568</v>
      </c>
      <c r="S449" s="231" t="s">
        <v>565</v>
      </c>
      <c r="T449" s="231" t="s">
        <v>574</v>
      </c>
      <c r="U449" s="231" t="s">
        <v>567</v>
      </c>
      <c r="V449" s="231" t="s">
        <v>575</v>
      </c>
      <c r="W449" s="231" t="s">
        <v>569</v>
      </c>
      <c r="X449" s="231" t="s">
        <v>570</v>
      </c>
      <c r="Y449" s="231" t="s">
        <v>566</v>
      </c>
      <c r="AA449" s="231">
        <f t="shared" si="311"/>
        <v>0</v>
      </c>
      <c r="AB449" s="231">
        <f t="shared" si="312"/>
        <v>0</v>
      </c>
      <c r="AC449" s="231">
        <f t="shared" si="313"/>
        <v>0</v>
      </c>
      <c r="AD449" s="231">
        <f t="shared" si="314"/>
        <v>0</v>
      </c>
      <c r="AE449" s="231">
        <f t="shared" si="315"/>
        <v>0</v>
      </c>
      <c r="AF449" s="231">
        <f t="shared" si="316"/>
        <v>1</v>
      </c>
      <c r="AG449" s="231">
        <f t="shared" si="317"/>
        <v>1</v>
      </c>
      <c r="AH449" s="231">
        <f t="shared" si="318"/>
        <v>0</v>
      </c>
      <c r="AI449" s="231">
        <f t="shared" si="319"/>
        <v>1</v>
      </c>
      <c r="AJ449" s="231">
        <f t="shared" si="320"/>
        <v>1</v>
      </c>
      <c r="AK449" s="231">
        <f t="shared" si="321"/>
        <v>0</v>
      </c>
      <c r="AL449" s="231">
        <f t="shared" si="322"/>
        <v>1</v>
      </c>
      <c r="AM449" s="231">
        <f t="shared" si="323"/>
        <v>5</v>
      </c>
    </row>
    <row r="450" spans="4:39" x14ac:dyDescent="0.25">
      <c r="D450" s="231">
        <v>292</v>
      </c>
      <c r="E450" s="231" t="s">
        <v>72</v>
      </c>
      <c r="F450" s="231" t="s">
        <v>73</v>
      </c>
      <c r="J450" s="231" t="s">
        <v>75</v>
      </c>
      <c r="K450" s="231" t="s">
        <v>77</v>
      </c>
      <c r="L450" s="231" t="s">
        <v>78</v>
      </c>
      <c r="M450" s="231" t="s">
        <v>515</v>
      </c>
      <c r="N450" s="231" t="s">
        <v>516</v>
      </c>
      <c r="O450" s="232" t="s">
        <v>517</v>
      </c>
      <c r="R450" s="231" t="s">
        <v>568</v>
      </c>
      <c r="S450" s="231" t="s">
        <v>565</v>
      </c>
      <c r="T450" s="231" t="s">
        <v>574</v>
      </c>
      <c r="U450" s="231" t="s">
        <v>567</v>
      </c>
      <c r="V450" s="231" t="s">
        <v>575</v>
      </c>
      <c r="W450" s="231" t="s">
        <v>569</v>
      </c>
      <c r="X450" s="231" t="s">
        <v>566</v>
      </c>
      <c r="Y450" s="231" t="s">
        <v>571</v>
      </c>
      <c r="AA450" s="231">
        <f t="shared" si="311"/>
        <v>0</v>
      </c>
      <c r="AB450" s="231">
        <f t="shared" si="312"/>
        <v>0</v>
      </c>
      <c r="AC450" s="231">
        <f t="shared" si="313"/>
        <v>0</v>
      </c>
      <c r="AD450" s="231">
        <f t="shared" si="314"/>
        <v>0</v>
      </c>
      <c r="AE450" s="231">
        <f t="shared" si="315"/>
        <v>0</v>
      </c>
      <c r="AF450" s="231">
        <f t="shared" si="316"/>
        <v>1</v>
      </c>
      <c r="AG450" s="231">
        <f t="shared" si="317"/>
        <v>1</v>
      </c>
      <c r="AH450" s="231">
        <f t="shared" si="318"/>
        <v>0</v>
      </c>
      <c r="AI450" s="231">
        <f t="shared" si="319"/>
        <v>1</v>
      </c>
      <c r="AJ450" s="231">
        <f t="shared" si="320"/>
        <v>1</v>
      </c>
      <c r="AK450" s="231">
        <f t="shared" si="321"/>
        <v>0</v>
      </c>
      <c r="AL450" s="231">
        <f t="shared" si="322"/>
        <v>0</v>
      </c>
      <c r="AM450" s="231">
        <f t="shared" si="323"/>
        <v>4</v>
      </c>
    </row>
    <row r="451" spans="4:39" x14ac:dyDescent="0.25">
      <c r="D451" s="231">
        <v>293</v>
      </c>
      <c r="E451" s="231" t="s">
        <v>72</v>
      </c>
      <c r="F451" s="231" t="s">
        <v>73</v>
      </c>
      <c r="I451" s="231" t="s">
        <v>76</v>
      </c>
      <c r="L451" s="231" t="s">
        <v>78</v>
      </c>
      <c r="M451" s="231" t="s">
        <v>515</v>
      </c>
      <c r="N451" s="231" t="s">
        <v>516</v>
      </c>
      <c r="O451" s="232" t="s">
        <v>517</v>
      </c>
      <c r="P451" s="231" t="s">
        <v>70</v>
      </c>
      <c r="R451" s="231" t="s">
        <v>564</v>
      </c>
      <c r="S451" s="231" t="s">
        <v>565</v>
      </c>
      <c r="T451" s="231" t="s">
        <v>574</v>
      </c>
      <c r="U451" s="231" t="s">
        <v>575</v>
      </c>
      <c r="V451" s="231" t="s">
        <v>566</v>
      </c>
      <c r="W451" s="231" t="s">
        <v>568</v>
      </c>
      <c r="X451" s="231" t="s">
        <v>570</v>
      </c>
      <c r="Y451" s="231" t="s">
        <v>571</v>
      </c>
      <c r="AA451" s="231">
        <f t="shared" si="311"/>
        <v>0</v>
      </c>
      <c r="AB451" s="231">
        <f t="shared" si="312"/>
        <v>0</v>
      </c>
      <c r="AC451" s="231">
        <f t="shared" si="313"/>
        <v>0</v>
      </c>
      <c r="AD451" s="231">
        <f t="shared" si="314"/>
        <v>0</v>
      </c>
      <c r="AE451" s="231">
        <f t="shared" si="315"/>
        <v>1</v>
      </c>
      <c r="AF451" s="231">
        <f t="shared" si="316"/>
        <v>0</v>
      </c>
      <c r="AG451" s="231">
        <f t="shared" si="317"/>
        <v>0</v>
      </c>
      <c r="AH451" s="231">
        <f t="shared" si="318"/>
        <v>0</v>
      </c>
      <c r="AI451" s="231">
        <f t="shared" si="319"/>
        <v>1</v>
      </c>
      <c r="AJ451" s="231">
        <f t="shared" si="320"/>
        <v>1</v>
      </c>
      <c r="AK451" s="231">
        <f t="shared" si="321"/>
        <v>0</v>
      </c>
      <c r="AL451" s="231">
        <f t="shared" si="322"/>
        <v>1</v>
      </c>
      <c r="AM451" s="231">
        <f t="shared" si="323"/>
        <v>4</v>
      </c>
    </row>
    <row r="452" spans="4:39" x14ac:dyDescent="0.25">
      <c r="D452" s="231">
        <v>294</v>
      </c>
      <c r="E452" s="231" t="s">
        <v>72</v>
      </c>
      <c r="F452" s="231" t="s">
        <v>73</v>
      </c>
      <c r="I452" s="231" t="s">
        <v>76</v>
      </c>
      <c r="K452" s="231" t="s">
        <v>77</v>
      </c>
      <c r="M452" s="231" t="s">
        <v>515</v>
      </c>
      <c r="N452" s="231" t="s">
        <v>516</v>
      </c>
      <c r="O452" s="232" t="s">
        <v>517</v>
      </c>
      <c r="P452" s="231" t="s">
        <v>70</v>
      </c>
      <c r="R452" s="231" t="s">
        <v>564</v>
      </c>
      <c r="S452" s="231" t="s">
        <v>565</v>
      </c>
      <c r="T452" s="231" t="s">
        <v>574</v>
      </c>
      <c r="U452" s="231" t="s">
        <v>575</v>
      </c>
      <c r="V452" s="231" t="s">
        <v>566</v>
      </c>
      <c r="W452" s="231" t="s">
        <v>569</v>
      </c>
      <c r="X452" s="231" t="s">
        <v>570</v>
      </c>
      <c r="Y452" s="231" t="s">
        <v>571</v>
      </c>
      <c r="AA452" s="231">
        <f t="shared" si="311"/>
        <v>0</v>
      </c>
      <c r="AB452" s="231">
        <f t="shared" si="312"/>
        <v>0</v>
      </c>
      <c r="AC452" s="231">
        <f t="shared" si="313"/>
        <v>0</v>
      </c>
      <c r="AD452" s="231">
        <f t="shared" si="314"/>
        <v>0</v>
      </c>
      <c r="AE452" s="231">
        <f t="shared" si="315"/>
        <v>1</v>
      </c>
      <c r="AF452" s="231">
        <f t="shared" si="316"/>
        <v>0</v>
      </c>
      <c r="AG452" s="231">
        <f t="shared" si="317"/>
        <v>1</v>
      </c>
      <c r="AH452" s="231">
        <f t="shared" si="318"/>
        <v>0</v>
      </c>
      <c r="AI452" s="231">
        <f t="shared" si="319"/>
        <v>1</v>
      </c>
      <c r="AJ452" s="231">
        <f t="shared" si="320"/>
        <v>1</v>
      </c>
      <c r="AK452" s="231">
        <f t="shared" si="321"/>
        <v>0</v>
      </c>
      <c r="AL452" s="231">
        <f t="shared" si="322"/>
        <v>1</v>
      </c>
      <c r="AM452" s="231">
        <f t="shared" si="323"/>
        <v>5</v>
      </c>
    </row>
    <row r="453" spans="4:39" x14ac:dyDescent="0.25">
      <c r="D453" s="231">
        <v>295</v>
      </c>
      <c r="E453" s="231" t="s">
        <v>72</v>
      </c>
      <c r="F453" s="231" t="s">
        <v>73</v>
      </c>
      <c r="I453" s="231" t="s">
        <v>76</v>
      </c>
      <c r="K453" s="231" t="s">
        <v>77</v>
      </c>
      <c r="L453" s="231" t="s">
        <v>78</v>
      </c>
      <c r="N453" s="231" t="s">
        <v>516</v>
      </c>
      <c r="O453" s="232" t="s">
        <v>517</v>
      </c>
      <c r="P453" s="231" t="s">
        <v>70</v>
      </c>
      <c r="R453" s="231" t="s">
        <v>564</v>
      </c>
      <c r="S453" s="231" t="s">
        <v>565</v>
      </c>
      <c r="T453" s="231" t="s">
        <v>574</v>
      </c>
      <c r="U453" s="231" t="s">
        <v>575</v>
      </c>
      <c r="V453" s="231" t="s">
        <v>568</v>
      </c>
      <c r="W453" s="231" t="s">
        <v>569</v>
      </c>
      <c r="X453" s="231" t="s">
        <v>570</v>
      </c>
      <c r="Y453" s="231" t="s">
        <v>571</v>
      </c>
      <c r="AA453" s="231">
        <f t="shared" si="311"/>
        <v>0</v>
      </c>
      <c r="AB453" s="231">
        <f t="shared" si="312"/>
        <v>0</v>
      </c>
      <c r="AC453" s="231">
        <f t="shared" si="313"/>
        <v>0</v>
      </c>
      <c r="AD453" s="231">
        <f t="shared" si="314"/>
        <v>0</v>
      </c>
      <c r="AE453" s="231">
        <f t="shared" si="315"/>
        <v>1</v>
      </c>
      <c r="AF453" s="231">
        <f t="shared" si="316"/>
        <v>0</v>
      </c>
      <c r="AG453" s="231">
        <f t="shared" si="317"/>
        <v>1</v>
      </c>
      <c r="AH453" s="231">
        <f t="shared" si="318"/>
        <v>0</v>
      </c>
      <c r="AI453" s="231">
        <f t="shared" si="319"/>
        <v>0</v>
      </c>
      <c r="AJ453" s="231">
        <f t="shared" si="320"/>
        <v>1</v>
      </c>
      <c r="AK453" s="231">
        <f t="shared" si="321"/>
        <v>0</v>
      </c>
      <c r="AL453" s="231">
        <f t="shared" si="322"/>
        <v>1</v>
      </c>
      <c r="AM453" s="231">
        <f t="shared" si="323"/>
        <v>4</v>
      </c>
    </row>
    <row r="454" spans="4:39" x14ac:dyDescent="0.25">
      <c r="D454" s="231">
        <v>296</v>
      </c>
      <c r="E454" s="231" t="s">
        <v>72</v>
      </c>
      <c r="F454" s="231" t="s">
        <v>73</v>
      </c>
      <c r="I454" s="231" t="s">
        <v>76</v>
      </c>
      <c r="K454" s="231" t="s">
        <v>77</v>
      </c>
      <c r="L454" s="231" t="s">
        <v>78</v>
      </c>
      <c r="M454" s="231" t="s">
        <v>515</v>
      </c>
      <c r="O454" s="232" t="s">
        <v>517</v>
      </c>
      <c r="P454" s="231" t="s">
        <v>70</v>
      </c>
      <c r="R454" s="231" t="s">
        <v>564</v>
      </c>
      <c r="S454" s="231" t="s">
        <v>569</v>
      </c>
      <c r="T454" s="231" t="s">
        <v>574</v>
      </c>
      <c r="U454" s="231" t="s">
        <v>575</v>
      </c>
      <c r="V454" s="231" t="s">
        <v>566</v>
      </c>
      <c r="W454" s="231" t="s">
        <v>568</v>
      </c>
      <c r="X454" s="231" t="s">
        <v>570</v>
      </c>
      <c r="Y454" s="231" t="s">
        <v>571</v>
      </c>
      <c r="AA454" s="231">
        <f t="shared" si="311"/>
        <v>0</v>
      </c>
      <c r="AB454" s="231">
        <f t="shared" si="312"/>
        <v>0</v>
      </c>
      <c r="AC454" s="231">
        <f t="shared" si="313"/>
        <v>0</v>
      </c>
      <c r="AD454" s="231">
        <f t="shared" si="314"/>
        <v>0</v>
      </c>
      <c r="AE454" s="231">
        <f t="shared" si="315"/>
        <v>1</v>
      </c>
      <c r="AF454" s="231">
        <f t="shared" si="316"/>
        <v>0</v>
      </c>
      <c r="AG454" s="231">
        <f t="shared" si="317"/>
        <v>1</v>
      </c>
      <c r="AH454" s="231">
        <f t="shared" si="318"/>
        <v>0</v>
      </c>
      <c r="AI454" s="231">
        <f t="shared" si="319"/>
        <v>1</v>
      </c>
      <c r="AJ454" s="231">
        <f t="shared" si="320"/>
        <v>0</v>
      </c>
      <c r="AK454" s="231">
        <f t="shared" si="321"/>
        <v>0</v>
      </c>
      <c r="AL454" s="231">
        <f t="shared" si="322"/>
        <v>1</v>
      </c>
      <c r="AM454" s="231">
        <f t="shared" si="323"/>
        <v>4</v>
      </c>
    </row>
    <row r="455" spans="4:39" x14ac:dyDescent="0.25">
      <c r="D455" s="231">
        <v>297</v>
      </c>
      <c r="E455" s="231" t="s">
        <v>72</v>
      </c>
      <c r="F455" s="231" t="s">
        <v>73</v>
      </c>
      <c r="I455" s="231" t="s">
        <v>76</v>
      </c>
      <c r="K455" s="231" t="s">
        <v>77</v>
      </c>
      <c r="L455" s="231" t="s">
        <v>78</v>
      </c>
      <c r="M455" s="231" t="s">
        <v>515</v>
      </c>
      <c r="N455" s="231" t="s">
        <v>516</v>
      </c>
      <c r="P455" s="231" t="s">
        <v>70</v>
      </c>
      <c r="R455" s="231" t="s">
        <v>564</v>
      </c>
      <c r="S455" s="231" t="s">
        <v>565</v>
      </c>
      <c r="T455" s="231" t="s">
        <v>574</v>
      </c>
      <c r="U455" s="231" t="s">
        <v>575</v>
      </c>
      <c r="V455" s="231" t="s">
        <v>568</v>
      </c>
      <c r="W455" s="231" t="s">
        <v>569</v>
      </c>
      <c r="X455" s="231" t="s">
        <v>570</v>
      </c>
      <c r="Y455" s="231" t="s">
        <v>566</v>
      </c>
      <c r="AA455" s="231">
        <f t="shared" si="311"/>
        <v>0</v>
      </c>
      <c r="AB455" s="231">
        <f t="shared" si="312"/>
        <v>0</v>
      </c>
      <c r="AC455" s="231">
        <f t="shared" si="313"/>
        <v>0</v>
      </c>
      <c r="AD455" s="231">
        <f t="shared" si="314"/>
        <v>0</v>
      </c>
      <c r="AE455" s="231">
        <f t="shared" si="315"/>
        <v>1</v>
      </c>
      <c r="AF455" s="231">
        <f t="shared" si="316"/>
        <v>0</v>
      </c>
      <c r="AG455" s="231">
        <f t="shared" si="317"/>
        <v>1</v>
      </c>
      <c r="AH455" s="231">
        <f t="shared" si="318"/>
        <v>0</v>
      </c>
      <c r="AI455" s="231">
        <f t="shared" si="319"/>
        <v>1</v>
      </c>
      <c r="AJ455" s="231">
        <f t="shared" si="320"/>
        <v>1</v>
      </c>
      <c r="AK455" s="231">
        <f t="shared" si="321"/>
        <v>0</v>
      </c>
      <c r="AL455" s="231">
        <f t="shared" si="322"/>
        <v>1</v>
      </c>
      <c r="AM455" s="231">
        <f t="shared" si="323"/>
        <v>5</v>
      </c>
    </row>
    <row r="456" spans="4:39" x14ac:dyDescent="0.25">
      <c r="D456" s="231">
        <v>298</v>
      </c>
      <c r="E456" s="231" t="s">
        <v>72</v>
      </c>
      <c r="F456" s="231" t="s">
        <v>73</v>
      </c>
      <c r="I456" s="231" t="s">
        <v>76</v>
      </c>
      <c r="K456" s="231" t="s">
        <v>77</v>
      </c>
      <c r="L456" s="231" t="s">
        <v>78</v>
      </c>
      <c r="M456" s="231" t="s">
        <v>515</v>
      </c>
      <c r="N456" s="231" t="s">
        <v>516</v>
      </c>
      <c r="O456" s="232" t="s">
        <v>517</v>
      </c>
      <c r="R456" s="231" t="s">
        <v>564</v>
      </c>
      <c r="S456" s="231" t="s">
        <v>565</v>
      </c>
      <c r="T456" s="231" t="s">
        <v>574</v>
      </c>
      <c r="U456" s="231" t="s">
        <v>575</v>
      </c>
      <c r="V456" s="231" t="s">
        <v>568</v>
      </c>
      <c r="W456" s="231" t="s">
        <v>569</v>
      </c>
      <c r="X456" s="231" t="s">
        <v>566</v>
      </c>
      <c r="Y456" s="231" t="s">
        <v>571</v>
      </c>
      <c r="AA456" s="231">
        <f t="shared" si="311"/>
        <v>0</v>
      </c>
      <c r="AB456" s="231">
        <f t="shared" si="312"/>
        <v>0</v>
      </c>
      <c r="AC456" s="231">
        <f t="shared" si="313"/>
        <v>0</v>
      </c>
      <c r="AD456" s="231">
        <f t="shared" si="314"/>
        <v>0</v>
      </c>
      <c r="AE456" s="231">
        <f t="shared" si="315"/>
        <v>1</v>
      </c>
      <c r="AF456" s="231">
        <f t="shared" si="316"/>
        <v>0</v>
      </c>
      <c r="AG456" s="231">
        <f t="shared" si="317"/>
        <v>1</v>
      </c>
      <c r="AH456" s="231">
        <f t="shared" si="318"/>
        <v>0</v>
      </c>
      <c r="AI456" s="231">
        <f t="shared" si="319"/>
        <v>1</v>
      </c>
      <c r="AJ456" s="231">
        <f t="shared" si="320"/>
        <v>1</v>
      </c>
      <c r="AK456" s="231">
        <f t="shared" si="321"/>
        <v>0</v>
      </c>
      <c r="AL456" s="231">
        <f t="shared" si="322"/>
        <v>0</v>
      </c>
      <c r="AM456" s="231">
        <f t="shared" si="323"/>
        <v>4</v>
      </c>
    </row>
    <row r="457" spans="4:39" x14ac:dyDescent="0.25">
      <c r="D457" s="231">
        <v>299</v>
      </c>
      <c r="E457" s="231" t="s">
        <v>72</v>
      </c>
      <c r="F457" s="231" t="s">
        <v>73</v>
      </c>
      <c r="I457" s="231" t="s">
        <v>76</v>
      </c>
      <c r="J457" s="231" t="s">
        <v>75</v>
      </c>
      <c r="M457" s="231" t="s">
        <v>515</v>
      </c>
      <c r="N457" s="231" t="s">
        <v>516</v>
      </c>
      <c r="O457" s="232" t="s">
        <v>517</v>
      </c>
      <c r="P457" s="231" t="s">
        <v>70</v>
      </c>
      <c r="R457" s="231" t="s">
        <v>564</v>
      </c>
      <c r="S457" s="231" t="s">
        <v>565</v>
      </c>
      <c r="T457" s="231" t="s">
        <v>574</v>
      </c>
      <c r="U457" s="231" t="s">
        <v>575</v>
      </c>
      <c r="V457" s="231" t="s">
        <v>566</v>
      </c>
      <c r="W457" s="231" t="s">
        <v>567</v>
      </c>
      <c r="X457" s="231" t="s">
        <v>570</v>
      </c>
      <c r="Y457" s="231" t="s">
        <v>571</v>
      </c>
      <c r="AA457" s="231">
        <f t="shared" si="311"/>
        <v>0</v>
      </c>
      <c r="AB457" s="231">
        <f t="shared" si="312"/>
        <v>0</v>
      </c>
      <c r="AC457" s="231">
        <f t="shared" si="313"/>
        <v>0</v>
      </c>
      <c r="AD457" s="231">
        <f t="shared" si="314"/>
        <v>0</v>
      </c>
      <c r="AE457" s="231">
        <f t="shared" si="315"/>
        <v>1</v>
      </c>
      <c r="AF457" s="231">
        <f t="shared" si="316"/>
        <v>1</v>
      </c>
      <c r="AG457" s="231">
        <f t="shared" si="317"/>
        <v>0</v>
      </c>
      <c r="AH457" s="231">
        <f t="shared" si="318"/>
        <v>0</v>
      </c>
      <c r="AI457" s="231">
        <f t="shared" si="319"/>
        <v>1</v>
      </c>
      <c r="AJ457" s="231">
        <f t="shared" si="320"/>
        <v>1</v>
      </c>
      <c r="AK457" s="231">
        <f t="shared" si="321"/>
        <v>0</v>
      </c>
      <c r="AL457" s="231">
        <f t="shared" si="322"/>
        <v>1</v>
      </c>
      <c r="AM457" s="231">
        <f t="shared" si="323"/>
        <v>5</v>
      </c>
    </row>
    <row r="458" spans="4:39" x14ac:dyDescent="0.25">
      <c r="D458" s="231">
        <v>300</v>
      </c>
      <c r="E458" s="231" t="s">
        <v>72</v>
      </c>
      <c r="F458" s="231" t="s">
        <v>73</v>
      </c>
      <c r="I458" s="231" t="s">
        <v>76</v>
      </c>
      <c r="J458" s="231" t="s">
        <v>75</v>
      </c>
      <c r="L458" s="231" t="s">
        <v>78</v>
      </c>
      <c r="N458" s="231" t="s">
        <v>516</v>
      </c>
      <c r="O458" s="232" t="s">
        <v>517</v>
      </c>
      <c r="P458" s="231" t="s">
        <v>70</v>
      </c>
      <c r="R458" s="231" t="s">
        <v>564</v>
      </c>
      <c r="S458" s="231" t="s">
        <v>565</v>
      </c>
      <c r="T458" s="231" t="s">
        <v>574</v>
      </c>
      <c r="U458" s="231" t="s">
        <v>567</v>
      </c>
      <c r="V458" s="231" t="s">
        <v>575</v>
      </c>
      <c r="W458" s="231" t="s">
        <v>568</v>
      </c>
      <c r="X458" s="231" t="s">
        <v>570</v>
      </c>
      <c r="Y458" s="231" t="s">
        <v>571</v>
      </c>
      <c r="AA458" s="231">
        <f t="shared" si="311"/>
        <v>0</v>
      </c>
      <c r="AB458" s="231">
        <f t="shared" si="312"/>
        <v>0</v>
      </c>
      <c r="AC458" s="231">
        <f t="shared" si="313"/>
        <v>0</v>
      </c>
      <c r="AD458" s="231">
        <f t="shared" si="314"/>
        <v>0</v>
      </c>
      <c r="AE458" s="231">
        <f t="shared" si="315"/>
        <v>1</v>
      </c>
      <c r="AF458" s="231">
        <f t="shared" si="316"/>
        <v>1</v>
      </c>
      <c r="AG458" s="231">
        <f t="shared" si="317"/>
        <v>0</v>
      </c>
      <c r="AH458" s="231">
        <f t="shared" si="318"/>
        <v>0</v>
      </c>
      <c r="AI458" s="231">
        <f t="shared" si="319"/>
        <v>0</v>
      </c>
      <c r="AJ458" s="231">
        <f t="shared" si="320"/>
        <v>1</v>
      </c>
      <c r="AK458" s="231">
        <f t="shared" si="321"/>
        <v>0</v>
      </c>
      <c r="AL458" s="231">
        <f t="shared" si="322"/>
        <v>1</v>
      </c>
      <c r="AM458" s="231">
        <f t="shared" si="323"/>
        <v>4</v>
      </c>
    </row>
    <row r="459" spans="4:39" x14ac:dyDescent="0.25">
      <c r="D459" s="231">
        <v>301</v>
      </c>
      <c r="E459" s="231" t="s">
        <v>72</v>
      </c>
      <c r="F459" s="231" t="s">
        <v>73</v>
      </c>
      <c r="I459" s="231" t="s">
        <v>76</v>
      </c>
      <c r="J459" s="231" t="s">
        <v>75</v>
      </c>
      <c r="L459" s="231" t="s">
        <v>78</v>
      </c>
      <c r="M459" s="231" t="s">
        <v>515</v>
      </c>
      <c r="O459" s="232" t="s">
        <v>517</v>
      </c>
      <c r="P459" s="231" t="s">
        <v>70</v>
      </c>
      <c r="R459" s="231" t="s">
        <v>564</v>
      </c>
      <c r="S459" s="231" t="s">
        <v>566</v>
      </c>
      <c r="T459" s="231" t="s">
        <v>574</v>
      </c>
      <c r="U459" s="231" t="s">
        <v>567</v>
      </c>
      <c r="V459" s="231" t="s">
        <v>575</v>
      </c>
      <c r="W459" s="231" t="s">
        <v>568</v>
      </c>
      <c r="X459" s="231" t="s">
        <v>570</v>
      </c>
      <c r="Y459" s="231" t="s">
        <v>571</v>
      </c>
      <c r="AA459" s="231">
        <f t="shared" si="311"/>
        <v>0</v>
      </c>
      <c r="AB459" s="231">
        <f t="shared" si="312"/>
        <v>0</v>
      </c>
      <c r="AC459" s="231">
        <f t="shared" si="313"/>
        <v>0</v>
      </c>
      <c r="AD459" s="231">
        <f t="shared" si="314"/>
        <v>0</v>
      </c>
      <c r="AE459" s="231">
        <f t="shared" si="315"/>
        <v>1</v>
      </c>
      <c r="AF459" s="231">
        <f t="shared" si="316"/>
        <v>1</v>
      </c>
      <c r="AG459" s="231">
        <f t="shared" si="317"/>
        <v>0</v>
      </c>
      <c r="AH459" s="231">
        <f t="shared" si="318"/>
        <v>0</v>
      </c>
      <c r="AI459" s="231">
        <f t="shared" si="319"/>
        <v>1</v>
      </c>
      <c r="AJ459" s="231">
        <f t="shared" si="320"/>
        <v>0</v>
      </c>
      <c r="AK459" s="231">
        <f t="shared" si="321"/>
        <v>0</v>
      </c>
      <c r="AL459" s="231">
        <f t="shared" si="322"/>
        <v>1</v>
      </c>
      <c r="AM459" s="231">
        <f t="shared" si="323"/>
        <v>4</v>
      </c>
    </row>
    <row r="460" spans="4:39" x14ac:dyDescent="0.25">
      <c r="D460" s="231">
        <v>302</v>
      </c>
      <c r="E460" s="231" t="s">
        <v>72</v>
      </c>
      <c r="F460" s="231" t="s">
        <v>73</v>
      </c>
      <c r="I460" s="231" t="s">
        <v>76</v>
      </c>
      <c r="J460" s="231" t="s">
        <v>75</v>
      </c>
      <c r="L460" s="231" t="s">
        <v>78</v>
      </c>
      <c r="M460" s="231" t="s">
        <v>515</v>
      </c>
      <c r="N460" s="231" t="s">
        <v>516</v>
      </c>
      <c r="P460" s="231" t="s">
        <v>70</v>
      </c>
      <c r="R460" s="231" t="s">
        <v>564</v>
      </c>
      <c r="S460" s="231" t="s">
        <v>565</v>
      </c>
      <c r="T460" s="231" t="s">
        <v>574</v>
      </c>
      <c r="U460" s="231" t="s">
        <v>567</v>
      </c>
      <c r="V460" s="231" t="s">
        <v>575</v>
      </c>
      <c r="W460" s="231" t="s">
        <v>568</v>
      </c>
      <c r="X460" s="231" t="s">
        <v>570</v>
      </c>
      <c r="Y460" s="231" t="s">
        <v>566</v>
      </c>
      <c r="AA460" s="231">
        <f t="shared" si="311"/>
        <v>0</v>
      </c>
      <c r="AB460" s="231">
        <f t="shared" si="312"/>
        <v>0</v>
      </c>
      <c r="AC460" s="231">
        <f t="shared" si="313"/>
        <v>0</v>
      </c>
      <c r="AD460" s="231">
        <f t="shared" si="314"/>
        <v>0</v>
      </c>
      <c r="AE460" s="231">
        <f t="shared" si="315"/>
        <v>1</v>
      </c>
      <c r="AF460" s="231">
        <f t="shared" si="316"/>
        <v>1</v>
      </c>
      <c r="AG460" s="231">
        <f t="shared" si="317"/>
        <v>0</v>
      </c>
      <c r="AH460" s="231">
        <f t="shared" si="318"/>
        <v>0</v>
      </c>
      <c r="AI460" s="231">
        <f t="shared" si="319"/>
        <v>1</v>
      </c>
      <c r="AJ460" s="231">
        <f t="shared" si="320"/>
        <v>1</v>
      </c>
      <c r="AK460" s="231">
        <f t="shared" si="321"/>
        <v>0</v>
      </c>
      <c r="AL460" s="231">
        <f t="shared" si="322"/>
        <v>1</v>
      </c>
      <c r="AM460" s="231">
        <f t="shared" si="323"/>
        <v>5</v>
      </c>
    </row>
    <row r="461" spans="4:39" x14ac:dyDescent="0.25">
      <c r="D461" s="231">
        <v>303</v>
      </c>
      <c r="E461" s="231" t="s">
        <v>72</v>
      </c>
      <c r="F461" s="231" t="s">
        <v>73</v>
      </c>
      <c r="I461" s="231" t="s">
        <v>76</v>
      </c>
      <c r="J461" s="231" t="s">
        <v>75</v>
      </c>
      <c r="L461" s="231" t="s">
        <v>78</v>
      </c>
      <c r="M461" s="231" t="s">
        <v>515</v>
      </c>
      <c r="N461" s="231" t="s">
        <v>516</v>
      </c>
      <c r="O461" s="232" t="s">
        <v>517</v>
      </c>
      <c r="R461" s="231" t="s">
        <v>564</v>
      </c>
      <c r="S461" s="231" t="s">
        <v>565</v>
      </c>
      <c r="T461" s="231" t="s">
        <v>574</v>
      </c>
      <c r="U461" s="231" t="s">
        <v>567</v>
      </c>
      <c r="V461" s="231" t="s">
        <v>575</v>
      </c>
      <c r="W461" s="231" t="s">
        <v>568</v>
      </c>
      <c r="X461" s="231" t="s">
        <v>566</v>
      </c>
      <c r="Y461" s="231" t="s">
        <v>571</v>
      </c>
      <c r="AA461" s="231">
        <f t="shared" si="311"/>
        <v>0</v>
      </c>
      <c r="AB461" s="231">
        <f t="shared" si="312"/>
        <v>0</v>
      </c>
      <c r="AC461" s="231">
        <f t="shared" si="313"/>
        <v>0</v>
      </c>
      <c r="AD461" s="231">
        <f t="shared" si="314"/>
        <v>0</v>
      </c>
      <c r="AE461" s="231">
        <f t="shared" si="315"/>
        <v>1</v>
      </c>
      <c r="AF461" s="231">
        <f t="shared" si="316"/>
        <v>1</v>
      </c>
      <c r="AG461" s="231">
        <f t="shared" si="317"/>
        <v>0</v>
      </c>
      <c r="AH461" s="231">
        <f t="shared" si="318"/>
        <v>0</v>
      </c>
      <c r="AI461" s="231">
        <f t="shared" si="319"/>
        <v>1</v>
      </c>
      <c r="AJ461" s="231">
        <f t="shared" si="320"/>
        <v>1</v>
      </c>
      <c r="AK461" s="231">
        <f t="shared" si="321"/>
        <v>0</v>
      </c>
      <c r="AL461" s="231">
        <f t="shared" si="322"/>
        <v>0</v>
      </c>
      <c r="AM461" s="231">
        <f t="shared" si="323"/>
        <v>4</v>
      </c>
    </row>
    <row r="462" spans="4:39" x14ac:dyDescent="0.25">
      <c r="D462" s="231">
        <v>304</v>
      </c>
      <c r="E462" s="231" t="s">
        <v>72</v>
      </c>
      <c r="F462" s="231" t="s">
        <v>73</v>
      </c>
      <c r="I462" s="231" t="s">
        <v>76</v>
      </c>
      <c r="J462" s="231" t="s">
        <v>75</v>
      </c>
      <c r="K462" s="231" t="s">
        <v>77</v>
      </c>
      <c r="N462" s="231" t="s">
        <v>516</v>
      </c>
      <c r="O462" s="232" t="s">
        <v>517</v>
      </c>
      <c r="P462" s="231" t="s">
        <v>70</v>
      </c>
      <c r="R462" s="231" t="s">
        <v>564</v>
      </c>
      <c r="S462" s="231" t="s">
        <v>565</v>
      </c>
      <c r="T462" s="231" t="s">
        <v>574</v>
      </c>
      <c r="U462" s="231" t="s">
        <v>567</v>
      </c>
      <c r="V462" s="231" t="s">
        <v>575</v>
      </c>
      <c r="W462" s="231" t="s">
        <v>569</v>
      </c>
      <c r="X462" s="231" t="s">
        <v>570</v>
      </c>
      <c r="Y462" s="231" t="s">
        <v>571</v>
      </c>
      <c r="AA462" s="231">
        <f t="shared" si="311"/>
        <v>0</v>
      </c>
      <c r="AB462" s="231">
        <f t="shared" si="312"/>
        <v>0</v>
      </c>
      <c r="AC462" s="231">
        <f t="shared" si="313"/>
        <v>0</v>
      </c>
      <c r="AD462" s="231">
        <f t="shared" si="314"/>
        <v>0</v>
      </c>
      <c r="AE462" s="231">
        <f t="shared" si="315"/>
        <v>1</v>
      </c>
      <c r="AF462" s="231">
        <f t="shared" si="316"/>
        <v>1</v>
      </c>
      <c r="AG462" s="231">
        <f t="shared" si="317"/>
        <v>1</v>
      </c>
      <c r="AH462" s="231">
        <f t="shared" si="318"/>
        <v>0</v>
      </c>
      <c r="AI462" s="231">
        <f t="shared" si="319"/>
        <v>0</v>
      </c>
      <c r="AJ462" s="231">
        <f t="shared" si="320"/>
        <v>1</v>
      </c>
      <c r="AK462" s="231">
        <f t="shared" si="321"/>
        <v>0</v>
      </c>
      <c r="AL462" s="231">
        <f t="shared" si="322"/>
        <v>1</v>
      </c>
      <c r="AM462" s="231">
        <f t="shared" si="323"/>
        <v>5</v>
      </c>
    </row>
    <row r="463" spans="4:39" x14ac:dyDescent="0.25">
      <c r="D463" s="231">
        <v>305</v>
      </c>
      <c r="E463" s="231" t="s">
        <v>72</v>
      </c>
      <c r="F463" s="231" t="s">
        <v>73</v>
      </c>
      <c r="I463" s="231" t="s">
        <v>76</v>
      </c>
      <c r="J463" s="231" t="s">
        <v>75</v>
      </c>
      <c r="K463" s="231" t="s">
        <v>77</v>
      </c>
      <c r="M463" s="231" t="s">
        <v>515</v>
      </c>
      <c r="O463" s="232" t="s">
        <v>517</v>
      </c>
      <c r="P463" s="231" t="s">
        <v>70</v>
      </c>
      <c r="R463" s="231" t="s">
        <v>564</v>
      </c>
      <c r="S463" s="231" t="s">
        <v>569</v>
      </c>
      <c r="T463" s="231" t="s">
        <v>574</v>
      </c>
      <c r="U463" s="231" t="s">
        <v>575</v>
      </c>
      <c r="V463" s="231" t="s">
        <v>566</v>
      </c>
      <c r="W463" s="231" t="s">
        <v>567</v>
      </c>
      <c r="X463" s="231" t="s">
        <v>570</v>
      </c>
      <c r="Y463" s="231" t="s">
        <v>571</v>
      </c>
      <c r="AA463" s="231">
        <f t="shared" si="311"/>
        <v>0</v>
      </c>
      <c r="AB463" s="231">
        <f t="shared" si="312"/>
        <v>0</v>
      </c>
      <c r="AC463" s="231">
        <f t="shared" si="313"/>
        <v>0</v>
      </c>
      <c r="AD463" s="231">
        <f t="shared" si="314"/>
        <v>0</v>
      </c>
      <c r="AE463" s="231">
        <f t="shared" si="315"/>
        <v>1</v>
      </c>
      <c r="AF463" s="231">
        <f t="shared" si="316"/>
        <v>1</v>
      </c>
      <c r="AG463" s="231">
        <f t="shared" si="317"/>
        <v>1</v>
      </c>
      <c r="AH463" s="231">
        <f t="shared" si="318"/>
        <v>0</v>
      </c>
      <c r="AI463" s="231">
        <f t="shared" si="319"/>
        <v>1</v>
      </c>
      <c r="AJ463" s="231">
        <f t="shared" si="320"/>
        <v>0</v>
      </c>
      <c r="AK463" s="231">
        <f t="shared" si="321"/>
        <v>0</v>
      </c>
      <c r="AL463" s="231">
        <f t="shared" si="322"/>
        <v>1</v>
      </c>
      <c r="AM463" s="231">
        <f t="shared" si="323"/>
        <v>5</v>
      </c>
    </row>
    <row r="464" spans="4:39" x14ac:dyDescent="0.25">
      <c r="D464" s="231">
        <v>306</v>
      </c>
      <c r="E464" s="231" t="s">
        <v>72</v>
      </c>
      <c r="F464" s="231" t="s">
        <v>73</v>
      </c>
      <c r="I464" s="231" t="s">
        <v>76</v>
      </c>
      <c r="J464" s="231" t="s">
        <v>75</v>
      </c>
      <c r="K464" s="231" t="s">
        <v>77</v>
      </c>
      <c r="M464" s="231" t="s">
        <v>515</v>
      </c>
      <c r="N464" s="231" t="s">
        <v>516</v>
      </c>
      <c r="P464" s="231" t="s">
        <v>70</v>
      </c>
      <c r="R464" s="231" t="s">
        <v>564</v>
      </c>
      <c r="S464" s="231" t="s">
        <v>565</v>
      </c>
      <c r="T464" s="231" t="s">
        <v>574</v>
      </c>
      <c r="U464" s="231" t="s">
        <v>567</v>
      </c>
      <c r="V464" s="231" t="s">
        <v>575</v>
      </c>
      <c r="W464" s="231" t="s">
        <v>569</v>
      </c>
      <c r="X464" s="231" t="s">
        <v>570</v>
      </c>
      <c r="Y464" s="231" t="s">
        <v>566</v>
      </c>
      <c r="AA464" s="231">
        <f t="shared" si="311"/>
        <v>0</v>
      </c>
      <c r="AB464" s="231">
        <f t="shared" si="312"/>
        <v>0</v>
      </c>
      <c r="AC464" s="231">
        <f t="shared" si="313"/>
        <v>0</v>
      </c>
      <c r="AD464" s="231">
        <f t="shared" si="314"/>
        <v>0</v>
      </c>
      <c r="AE464" s="231">
        <f t="shared" si="315"/>
        <v>1</v>
      </c>
      <c r="AF464" s="231">
        <f t="shared" si="316"/>
        <v>1</v>
      </c>
      <c r="AG464" s="231">
        <f t="shared" si="317"/>
        <v>1</v>
      </c>
      <c r="AH464" s="231">
        <f t="shared" si="318"/>
        <v>0</v>
      </c>
      <c r="AI464" s="231">
        <f t="shared" si="319"/>
        <v>1</v>
      </c>
      <c r="AJ464" s="231">
        <f t="shared" si="320"/>
        <v>1</v>
      </c>
      <c r="AK464" s="231">
        <f t="shared" si="321"/>
        <v>0</v>
      </c>
      <c r="AL464" s="231">
        <f t="shared" si="322"/>
        <v>1</v>
      </c>
      <c r="AM464" s="231">
        <f t="shared" si="323"/>
        <v>6</v>
      </c>
    </row>
    <row r="465" spans="4:39" x14ac:dyDescent="0.25">
      <c r="D465" s="231">
        <v>307</v>
      </c>
      <c r="E465" s="231" t="s">
        <v>72</v>
      </c>
      <c r="F465" s="231" t="s">
        <v>73</v>
      </c>
      <c r="I465" s="231" t="s">
        <v>76</v>
      </c>
      <c r="J465" s="231" t="s">
        <v>75</v>
      </c>
      <c r="K465" s="231" t="s">
        <v>77</v>
      </c>
      <c r="M465" s="231" t="s">
        <v>515</v>
      </c>
      <c r="N465" s="231" t="s">
        <v>516</v>
      </c>
      <c r="O465" s="232" t="s">
        <v>517</v>
      </c>
      <c r="R465" s="231" t="s">
        <v>564</v>
      </c>
      <c r="S465" s="231" t="s">
        <v>565</v>
      </c>
      <c r="T465" s="231" t="s">
        <v>574</v>
      </c>
      <c r="U465" s="231" t="s">
        <v>567</v>
      </c>
      <c r="V465" s="231" t="s">
        <v>575</v>
      </c>
      <c r="W465" s="231" t="s">
        <v>569</v>
      </c>
      <c r="X465" s="231" t="s">
        <v>566</v>
      </c>
      <c r="Y465" s="231" t="s">
        <v>571</v>
      </c>
      <c r="AA465" s="231">
        <f t="shared" si="311"/>
        <v>0</v>
      </c>
      <c r="AB465" s="231">
        <f t="shared" si="312"/>
        <v>0</v>
      </c>
      <c r="AC465" s="231">
        <f t="shared" si="313"/>
        <v>0</v>
      </c>
      <c r="AD465" s="231">
        <f t="shared" si="314"/>
        <v>0</v>
      </c>
      <c r="AE465" s="231">
        <f t="shared" si="315"/>
        <v>1</v>
      </c>
      <c r="AF465" s="231">
        <f t="shared" si="316"/>
        <v>1</v>
      </c>
      <c r="AG465" s="231">
        <f t="shared" si="317"/>
        <v>1</v>
      </c>
      <c r="AH465" s="231">
        <f t="shared" si="318"/>
        <v>0</v>
      </c>
      <c r="AI465" s="231">
        <f t="shared" si="319"/>
        <v>1</v>
      </c>
      <c r="AJ465" s="231">
        <f t="shared" si="320"/>
        <v>1</v>
      </c>
      <c r="AK465" s="231">
        <f t="shared" si="321"/>
        <v>0</v>
      </c>
      <c r="AL465" s="231">
        <f t="shared" si="322"/>
        <v>0</v>
      </c>
      <c r="AM465" s="231">
        <f t="shared" si="323"/>
        <v>5</v>
      </c>
    </row>
    <row r="466" spans="4:39" x14ac:dyDescent="0.25">
      <c r="D466" s="231">
        <v>308</v>
      </c>
      <c r="E466" s="231" t="s">
        <v>72</v>
      </c>
      <c r="F466" s="231" t="s">
        <v>73</v>
      </c>
      <c r="I466" s="231" t="s">
        <v>76</v>
      </c>
      <c r="J466" s="231" t="s">
        <v>75</v>
      </c>
      <c r="K466" s="231" t="s">
        <v>77</v>
      </c>
      <c r="L466" s="231" t="s">
        <v>78</v>
      </c>
      <c r="O466" s="232" t="s">
        <v>517</v>
      </c>
      <c r="P466" s="231" t="s">
        <v>70</v>
      </c>
      <c r="R466" s="231" t="s">
        <v>564</v>
      </c>
      <c r="S466" s="231" t="s">
        <v>569</v>
      </c>
      <c r="T466" s="231" t="s">
        <v>574</v>
      </c>
      <c r="U466" s="231" t="s">
        <v>567</v>
      </c>
      <c r="V466" s="231" t="s">
        <v>575</v>
      </c>
      <c r="W466" s="231" t="s">
        <v>568</v>
      </c>
      <c r="X466" s="231" t="s">
        <v>570</v>
      </c>
      <c r="Y466" s="231" t="s">
        <v>571</v>
      </c>
      <c r="AA466" s="231">
        <f t="shared" si="311"/>
        <v>0</v>
      </c>
      <c r="AB466" s="231">
        <f t="shared" si="312"/>
        <v>0</v>
      </c>
      <c r="AC466" s="231">
        <f t="shared" si="313"/>
        <v>0</v>
      </c>
      <c r="AD466" s="231">
        <f t="shared" si="314"/>
        <v>0</v>
      </c>
      <c r="AE466" s="231">
        <f t="shared" si="315"/>
        <v>1</v>
      </c>
      <c r="AF466" s="231">
        <f t="shared" si="316"/>
        <v>1</v>
      </c>
      <c r="AG466" s="231">
        <f t="shared" si="317"/>
        <v>1</v>
      </c>
      <c r="AH466" s="231">
        <f t="shared" si="318"/>
        <v>0</v>
      </c>
      <c r="AI466" s="231">
        <f t="shared" si="319"/>
        <v>0</v>
      </c>
      <c r="AJ466" s="231">
        <f t="shared" si="320"/>
        <v>0</v>
      </c>
      <c r="AK466" s="231">
        <f t="shared" si="321"/>
        <v>0</v>
      </c>
      <c r="AL466" s="231">
        <f t="shared" si="322"/>
        <v>1</v>
      </c>
      <c r="AM466" s="231">
        <f t="shared" si="323"/>
        <v>4</v>
      </c>
    </row>
    <row r="467" spans="4:39" x14ac:dyDescent="0.25">
      <c r="D467" s="231">
        <v>309</v>
      </c>
      <c r="E467" s="231" t="s">
        <v>72</v>
      </c>
      <c r="F467" s="231" t="s">
        <v>73</v>
      </c>
      <c r="I467" s="231" t="s">
        <v>76</v>
      </c>
      <c r="J467" s="231" t="s">
        <v>75</v>
      </c>
      <c r="K467" s="231" t="s">
        <v>77</v>
      </c>
      <c r="L467" s="231" t="s">
        <v>78</v>
      </c>
      <c r="N467" s="231" t="s">
        <v>516</v>
      </c>
      <c r="P467" s="231" t="s">
        <v>70</v>
      </c>
      <c r="R467" s="231" t="s">
        <v>568</v>
      </c>
      <c r="S467" s="231" t="s">
        <v>565</v>
      </c>
      <c r="T467" s="231" t="s">
        <v>574</v>
      </c>
      <c r="U467" s="231" t="s">
        <v>567</v>
      </c>
      <c r="V467" s="231" t="s">
        <v>575</v>
      </c>
      <c r="W467" s="231" t="s">
        <v>569</v>
      </c>
      <c r="X467" s="231" t="s">
        <v>570</v>
      </c>
      <c r="Y467" s="231" t="s">
        <v>564</v>
      </c>
      <c r="AA467" s="231">
        <f t="shared" si="311"/>
        <v>0</v>
      </c>
      <c r="AB467" s="231">
        <f t="shared" si="312"/>
        <v>0</v>
      </c>
      <c r="AC467" s="231">
        <f t="shared" si="313"/>
        <v>0</v>
      </c>
      <c r="AD467" s="231">
        <f t="shared" si="314"/>
        <v>0</v>
      </c>
      <c r="AE467" s="231">
        <f t="shared" si="315"/>
        <v>1</v>
      </c>
      <c r="AF467" s="231">
        <f t="shared" si="316"/>
        <v>1</v>
      </c>
      <c r="AG467" s="231">
        <f t="shared" si="317"/>
        <v>1</v>
      </c>
      <c r="AH467" s="231">
        <f t="shared" si="318"/>
        <v>0</v>
      </c>
      <c r="AI467" s="231">
        <f t="shared" si="319"/>
        <v>0</v>
      </c>
      <c r="AJ467" s="231">
        <f t="shared" si="320"/>
        <v>1</v>
      </c>
      <c r="AK467" s="231">
        <f t="shared" si="321"/>
        <v>0</v>
      </c>
      <c r="AL467" s="231">
        <f t="shared" si="322"/>
        <v>1</v>
      </c>
      <c r="AM467" s="231">
        <f t="shared" si="323"/>
        <v>5</v>
      </c>
    </row>
    <row r="468" spans="4:39" x14ac:dyDescent="0.25">
      <c r="D468" s="231">
        <v>310</v>
      </c>
      <c r="E468" s="231" t="s">
        <v>72</v>
      </c>
      <c r="F468" s="231" t="s">
        <v>73</v>
      </c>
      <c r="I468" s="231" t="s">
        <v>76</v>
      </c>
      <c r="J468" s="231" t="s">
        <v>75</v>
      </c>
      <c r="K468" s="231" t="s">
        <v>77</v>
      </c>
      <c r="L468" s="231" t="s">
        <v>78</v>
      </c>
      <c r="N468" s="231" t="s">
        <v>516</v>
      </c>
      <c r="O468" s="232" t="s">
        <v>517</v>
      </c>
      <c r="R468" s="231" t="s">
        <v>568</v>
      </c>
      <c r="S468" s="231" t="s">
        <v>565</v>
      </c>
      <c r="T468" s="231" t="s">
        <v>574</v>
      </c>
      <c r="U468" s="231" t="s">
        <v>567</v>
      </c>
      <c r="V468" s="231" t="s">
        <v>575</v>
      </c>
      <c r="W468" s="231" t="s">
        <v>569</v>
      </c>
      <c r="X468" s="231" t="s">
        <v>564</v>
      </c>
      <c r="Y468" s="231" t="s">
        <v>571</v>
      </c>
      <c r="AA468" s="231">
        <f t="shared" si="311"/>
        <v>0</v>
      </c>
      <c r="AB468" s="231">
        <f t="shared" si="312"/>
        <v>0</v>
      </c>
      <c r="AC468" s="231">
        <f t="shared" si="313"/>
        <v>0</v>
      </c>
      <c r="AD468" s="231">
        <f t="shared" si="314"/>
        <v>0</v>
      </c>
      <c r="AE468" s="231">
        <f t="shared" si="315"/>
        <v>1</v>
      </c>
      <c r="AF468" s="231">
        <f t="shared" si="316"/>
        <v>1</v>
      </c>
      <c r="AG468" s="231">
        <f t="shared" si="317"/>
        <v>1</v>
      </c>
      <c r="AH468" s="231">
        <f t="shared" si="318"/>
        <v>0</v>
      </c>
      <c r="AI468" s="231">
        <f t="shared" si="319"/>
        <v>0</v>
      </c>
      <c r="AJ468" s="231">
        <f t="shared" si="320"/>
        <v>1</v>
      </c>
      <c r="AK468" s="231">
        <f t="shared" si="321"/>
        <v>0</v>
      </c>
      <c r="AL468" s="231">
        <f t="shared" si="322"/>
        <v>0</v>
      </c>
      <c r="AM468" s="231">
        <f t="shared" si="323"/>
        <v>4</v>
      </c>
    </row>
    <row r="469" spans="4:39" x14ac:dyDescent="0.25">
      <c r="D469" s="231">
        <v>311</v>
      </c>
      <c r="E469" s="231" t="s">
        <v>72</v>
      </c>
      <c r="F469" s="231" t="s">
        <v>73</v>
      </c>
      <c r="I469" s="231" t="s">
        <v>76</v>
      </c>
      <c r="J469" s="231" t="s">
        <v>75</v>
      </c>
      <c r="K469" s="231" t="s">
        <v>77</v>
      </c>
      <c r="L469" s="231" t="s">
        <v>78</v>
      </c>
      <c r="M469" s="231" t="s">
        <v>515</v>
      </c>
      <c r="P469" s="231" t="s">
        <v>70</v>
      </c>
      <c r="R469" s="231" t="s">
        <v>564</v>
      </c>
      <c r="S469" s="231" t="s">
        <v>569</v>
      </c>
      <c r="T469" s="231" t="s">
        <v>574</v>
      </c>
      <c r="U469" s="231" t="s">
        <v>567</v>
      </c>
      <c r="V469" s="231" t="s">
        <v>575</v>
      </c>
      <c r="W469" s="231" t="s">
        <v>568</v>
      </c>
      <c r="X469" s="231" t="s">
        <v>570</v>
      </c>
      <c r="Y469" s="231" t="s">
        <v>566</v>
      </c>
      <c r="AA469" s="231">
        <f t="shared" si="311"/>
        <v>0</v>
      </c>
      <c r="AB469" s="231">
        <f t="shared" si="312"/>
        <v>0</v>
      </c>
      <c r="AC469" s="231">
        <f t="shared" si="313"/>
        <v>0</v>
      </c>
      <c r="AD469" s="231">
        <f t="shared" si="314"/>
        <v>0</v>
      </c>
      <c r="AE469" s="231">
        <f t="shared" si="315"/>
        <v>1</v>
      </c>
      <c r="AF469" s="231">
        <f t="shared" si="316"/>
        <v>1</v>
      </c>
      <c r="AG469" s="231">
        <f t="shared" si="317"/>
        <v>1</v>
      </c>
      <c r="AH469" s="231">
        <f t="shared" si="318"/>
        <v>0</v>
      </c>
      <c r="AI469" s="231">
        <f t="shared" si="319"/>
        <v>1</v>
      </c>
      <c r="AJ469" s="231">
        <f t="shared" si="320"/>
        <v>0</v>
      </c>
      <c r="AK469" s="231">
        <f t="shared" si="321"/>
        <v>0</v>
      </c>
      <c r="AL469" s="231">
        <f t="shared" si="322"/>
        <v>1</v>
      </c>
      <c r="AM469" s="231">
        <f t="shared" si="323"/>
        <v>5</v>
      </c>
    </row>
    <row r="470" spans="4:39" x14ac:dyDescent="0.25">
      <c r="D470" s="231">
        <v>312</v>
      </c>
      <c r="E470" s="231" t="s">
        <v>72</v>
      </c>
      <c r="F470" s="231" t="s">
        <v>73</v>
      </c>
      <c r="I470" s="231" t="s">
        <v>76</v>
      </c>
      <c r="J470" s="231" t="s">
        <v>75</v>
      </c>
      <c r="K470" s="231" t="s">
        <v>77</v>
      </c>
      <c r="L470" s="231" t="s">
        <v>78</v>
      </c>
      <c r="M470" s="231" t="s">
        <v>515</v>
      </c>
      <c r="O470" s="232" t="s">
        <v>517</v>
      </c>
      <c r="R470" s="231" t="s">
        <v>564</v>
      </c>
      <c r="S470" s="231" t="s">
        <v>569</v>
      </c>
      <c r="T470" s="231" t="s">
        <v>574</v>
      </c>
      <c r="U470" s="231" t="s">
        <v>567</v>
      </c>
      <c r="V470" s="231" t="s">
        <v>575</v>
      </c>
      <c r="W470" s="231" t="s">
        <v>568</v>
      </c>
      <c r="X470" s="231" t="s">
        <v>566</v>
      </c>
      <c r="Y470" s="231" t="s">
        <v>571</v>
      </c>
      <c r="AA470" s="231">
        <f t="shared" si="311"/>
        <v>0</v>
      </c>
      <c r="AB470" s="231">
        <f t="shared" si="312"/>
        <v>0</v>
      </c>
      <c r="AC470" s="231">
        <f t="shared" si="313"/>
        <v>0</v>
      </c>
      <c r="AD470" s="231">
        <f t="shared" si="314"/>
        <v>0</v>
      </c>
      <c r="AE470" s="231">
        <f t="shared" si="315"/>
        <v>1</v>
      </c>
      <c r="AF470" s="231">
        <f t="shared" si="316"/>
        <v>1</v>
      </c>
      <c r="AG470" s="231">
        <f t="shared" si="317"/>
        <v>1</v>
      </c>
      <c r="AH470" s="231">
        <f t="shared" si="318"/>
        <v>0</v>
      </c>
      <c r="AI470" s="231">
        <f t="shared" si="319"/>
        <v>1</v>
      </c>
      <c r="AJ470" s="231">
        <f t="shared" si="320"/>
        <v>0</v>
      </c>
      <c r="AK470" s="231">
        <f t="shared" si="321"/>
        <v>0</v>
      </c>
      <c r="AL470" s="231">
        <f t="shared" si="322"/>
        <v>0</v>
      </c>
      <c r="AM470" s="231">
        <f t="shared" si="323"/>
        <v>4</v>
      </c>
    </row>
    <row r="471" spans="4:39" x14ac:dyDescent="0.25">
      <c r="D471" s="231">
        <v>313</v>
      </c>
      <c r="E471" s="231" t="s">
        <v>72</v>
      </c>
      <c r="F471" s="231" t="s">
        <v>73</v>
      </c>
      <c r="I471" s="231" t="s">
        <v>76</v>
      </c>
      <c r="J471" s="231" t="s">
        <v>75</v>
      </c>
      <c r="K471" s="231" t="s">
        <v>77</v>
      </c>
      <c r="L471" s="231" t="s">
        <v>78</v>
      </c>
      <c r="M471" s="231" t="s">
        <v>515</v>
      </c>
      <c r="N471" s="231" t="s">
        <v>516</v>
      </c>
      <c r="R471" s="231" t="s">
        <v>568</v>
      </c>
      <c r="S471" s="231" t="s">
        <v>565</v>
      </c>
      <c r="T471" s="231" t="s">
        <v>574</v>
      </c>
      <c r="U471" s="231" t="s">
        <v>567</v>
      </c>
      <c r="V471" s="231" t="s">
        <v>575</v>
      </c>
      <c r="W471" s="231" t="s">
        <v>569</v>
      </c>
      <c r="X471" s="231" t="s">
        <v>564</v>
      </c>
      <c r="Y471" s="231" t="s">
        <v>566</v>
      </c>
      <c r="AA471" s="231">
        <f t="shared" si="311"/>
        <v>0</v>
      </c>
      <c r="AB471" s="231">
        <f t="shared" si="312"/>
        <v>0</v>
      </c>
      <c r="AC471" s="231">
        <f t="shared" si="313"/>
        <v>0</v>
      </c>
      <c r="AD471" s="231">
        <f t="shared" si="314"/>
        <v>0</v>
      </c>
      <c r="AE471" s="231">
        <f t="shared" si="315"/>
        <v>1</v>
      </c>
      <c r="AF471" s="231">
        <f t="shared" si="316"/>
        <v>1</v>
      </c>
      <c r="AG471" s="231">
        <f t="shared" si="317"/>
        <v>1</v>
      </c>
      <c r="AH471" s="231">
        <f t="shared" si="318"/>
        <v>0</v>
      </c>
      <c r="AI471" s="231">
        <f t="shared" si="319"/>
        <v>1</v>
      </c>
      <c r="AJ471" s="231">
        <f t="shared" si="320"/>
        <v>1</v>
      </c>
      <c r="AK471" s="231">
        <f t="shared" si="321"/>
        <v>0</v>
      </c>
      <c r="AL471" s="231">
        <f t="shared" si="322"/>
        <v>0</v>
      </c>
      <c r="AM471" s="231">
        <f t="shared" si="323"/>
        <v>5</v>
      </c>
    </row>
    <row r="472" spans="4:39" x14ac:dyDescent="0.25">
      <c r="D472" s="231">
        <v>314</v>
      </c>
      <c r="E472" s="231" t="s">
        <v>72</v>
      </c>
      <c r="F472" s="231" t="s">
        <v>73</v>
      </c>
      <c r="H472" s="231" t="s">
        <v>69</v>
      </c>
      <c r="L472" s="231" t="s">
        <v>78</v>
      </c>
      <c r="M472" s="231" t="s">
        <v>515</v>
      </c>
      <c r="N472" s="231" t="s">
        <v>516</v>
      </c>
      <c r="O472" s="232" t="s">
        <v>517</v>
      </c>
      <c r="P472" s="231" t="s">
        <v>70</v>
      </c>
      <c r="R472" s="231" t="s">
        <v>566</v>
      </c>
      <c r="S472" s="231" t="s">
        <v>565</v>
      </c>
      <c r="T472" s="231" t="s">
        <v>574</v>
      </c>
      <c r="U472" s="231" t="s">
        <v>572</v>
      </c>
      <c r="V472" s="231" t="s">
        <v>575</v>
      </c>
      <c r="W472" s="231" t="s">
        <v>568</v>
      </c>
      <c r="X472" s="231" t="s">
        <v>570</v>
      </c>
      <c r="Y472" s="231" t="s">
        <v>571</v>
      </c>
      <c r="AA472" s="231">
        <f t="shared" si="311"/>
        <v>0</v>
      </c>
      <c r="AB472" s="231">
        <f t="shared" si="312"/>
        <v>0</v>
      </c>
      <c r="AC472" s="231">
        <f t="shared" si="313"/>
        <v>0</v>
      </c>
      <c r="AD472" s="231">
        <f t="shared" si="314"/>
        <v>1</v>
      </c>
      <c r="AE472" s="231">
        <f t="shared" si="315"/>
        <v>0</v>
      </c>
      <c r="AF472" s="231">
        <f t="shared" si="316"/>
        <v>0</v>
      </c>
      <c r="AG472" s="231">
        <f t="shared" si="317"/>
        <v>0</v>
      </c>
      <c r="AH472" s="231">
        <f t="shared" si="318"/>
        <v>0</v>
      </c>
      <c r="AI472" s="231">
        <f t="shared" si="319"/>
        <v>1</v>
      </c>
      <c r="AJ472" s="231">
        <f t="shared" si="320"/>
        <v>1</v>
      </c>
      <c r="AK472" s="231">
        <f t="shared" si="321"/>
        <v>0</v>
      </c>
      <c r="AL472" s="231">
        <f t="shared" si="322"/>
        <v>1</v>
      </c>
      <c r="AM472" s="231">
        <f t="shared" si="323"/>
        <v>4</v>
      </c>
    </row>
    <row r="473" spans="4:39" x14ac:dyDescent="0.25">
      <c r="D473" s="231">
        <v>315</v>
      </c>
      <c r="E473" s="231" t="s">
        <v>72</v>
      </c>
      <c r="F473" s="231" t="s">
        <v>73</v>
      </c>
      <c r="H473" s="231" t="s">
        <v>69</v>
      </c>
      <c r="K473" s="231" t="s">
        <v>77</v>
      </c>
      <c r="M473" s="231" t="s">
        <v>515</v>
      </c>
      <c r="N473" s="231" t="s">
        <v>516</v>
      </c>
      <c r="O473" s="232" t="s">
        <v>517</v>
      </c>
      <c r="P473" s="231" t="s">
        <v>70</v>
      </c>
      <c r="R473" s="231" t="s">
        <v>566</v>
      </c>
      <c r="S473" s="231" t="s">
        <v>565</v>
      </c>
      <c r="T473" s="231" t="s">
        <v>574</v>
      </c>
      <c r="U473" s="231" t="s">
        <v>572</v>
      </c>
      <c r="V473" s="231" t="s">
        <v>575</v>
      </c>
      <c r="W473" s="231" t="s">
        <v>569</v>
      </c>
      <c r="X473" s="231" t="s">
        <v>570</v>
      </c>
      <c r="Y473" s="231" t="s">
        <v>571</v>
      </c>
      <c r="AA473" s="231">
        <f t="shared" si="311"/>
        <v>0</v>
      </c>
      <c r="AB473" s="231">
        <f t="shared" si="312"/>
        <v>0</v>
      </c>
      <c r="AC473" s="231">
        <f t="shared" si="313"/>
        <v>0</v>
      </c>
      <c r="AD473" s="231">
        <f t="shared" si="314"/>
        <v>1</v>
      </c>
      <c r="AE473" s="231">
        <f t="shared" si="315"/>
        <v>0</v>
      </c>
      <c r="AF473" s="231">
        <f t="shared" si="316"/>
        <v>0</v>
      </c>
      <c r="AG473" s="231">
        <f t="shared" si="317"/>
        <v>1</v>
      </c>
      <c r="AH473" s="231">
        <f t="shared" si="318"/>
        <v>0</v>
      </c>
      <c r="AI473" s="231">
        <f t="shared" si="319"/>
        <v>1</v>
      </c>
      <c r="AJ473" s="231">
        <f t="shared" si="320"/>
        <v>1</v>
      </c>
      <c r="AK473" s="231">
        <f t="shared" si="321"/>
        <v>0</v>
      </c>
      <c r="AL473" s="231">
        <f t="shared" si="322"/>
        <v>1</v>
      </c>
      <c r="AM473" s="231">
        <f t="shared" si="323"/>
        <v>5</v>
      </c>
    </row>
    <row r="474" spans="4:39" x14ac:dyDescent="0.25">
      <c r="D474" s="231">
        <v>316</v>
      </c>
      <c r="E474" s="231" t="s">
        <v>72</v>
      </c>
      <c r="F474" s="231" t="s">
        <v>73</v>
      </c>
      <c r="H474" s="231" t="s">
        <v>69</v>
      </c>
      <c r="K474" s="231" t="s">
        <v>77</v>
      </c>
      <c r="L474" s="231" t="s">
        <v>78</v>
      </c>
      <c r="N474" s="231" t="s">
        <v>516</v>
      </c>
      <c r="O474" s="232" t="s">
        <v>517</v>
      </c>
      <c r="P474" s="231" t="s">
        <v>70</v>
      </c>
      <c r="R474" s="231" t="s">
        <v>568</v>
      </c>
      <c r="S474" s="231" t="s">
        <v>565</v>
      </c>
      <c r="T474" s="231" t="s">
        <v>574</v>
      </c>
      <c r="U474" s="231" t="s">
        <v>572</v>
      </c>
      <c r="V474" s="231" t="s">
        <v>575</v>
      </c>
      <c r="W474" s="231" t="s">
        <v>569</v>
      </c>
      <c r="X474" s="231" t="s">
        <v>570</v>
      </c>
      <c r="Y474" s="231" t="s">
        <v>571</v>
      </c>
      <c r="AA474" s="231">
        <f t="shared" si="311"/>
        <v>0</v>
      </c>
      <c r="AB474" s="231">
        <f t="shared" si="312"/>
        <v>0</v>
      </c>
      <c r="AC474" s="231">
        <f t="shared" si="313"/>
        <v>0</v>
      </c>
      <c r="AD474" s="231">
        <f t="shared" si="314"/>
        <v>1</v>
      </c>
      <c r="AE474" s="231">
        <f t="shared" si="315"/>
        <v>0</v>
      </c>
      <c r="AF474" s="231">
        <f t="shared" si="316"/>
        <v>0</v>
      </c>
      <c r="AG474" s="231">
        <f t="shared" si="317"/>
        <v>1</v>
      </c>
      <c r="AH474" s="231">
        <f t="shared" si="318"/>
        <v>0</v>
      </c>
      <c r="AI474" s="231">
        <f t="shared" si="319"/>
        <v>0</v>
      </c>
      <c r="AJ474" s="231">
        <f t="shared" si="320"/>
        <v>1</v>
      </c>
      <c r="AK474" s="231">
        <f t="shared" si="321"/>
        <v>0</v>
      </c>
      <c r="AL474" s="231">
        <f t="shared" si="322"/>
        <v>1</v>
      </c>
      <c r="AM474" s="231">
        <f t="shared" si="323"/>
        <v>4</v>
      </c>
    </row>
    <row r="475" spans="4:39" x14ac:dyDescent="0.25">
      <c r="D475" s="231">
        <v>317</v>
      </c>
      <c r="E475" s="231" t="s">
        <v>72</v>
      </c>
      <c r="F475" s="231" t="s">
        <v>73</v>
      </c>
      <c r="H475" s="231" t="s">
        <v>69</v>
      </c>
      <c r="K475" s="231" t="s">
        <v>77</v>
      </c>
      <c r="L475" s="231" t="s">
        <v>78</v>
      </c>
      <c r="M475" s="231" t="s">
        <v>515</v>
      </c>
      <c r="O475" s="232" t="s">
        <v>517</v>
      </c>
      <c r="P475" s="231" t="s">
        <v>70</v>
      </c>
      <c r="R475" s="231" t="s">
        <v>566</v>
      </c>
      <c r="S475" s="231" t="s">
        <v>569</v>
      </c>
      <c r="T475" s="231" t="s">
        <v>574</v>
      </c>
      <c r="U475" s="231" t="s">
        <v>572</v>
      </c>
      <c r="V475" s="231" t="s">
        <v>575</v>
      </c>
      <c r="W475" s="231" t="s">
        <v>568</v>
      </c>
      <c r="X475" s="231" t="s">
        <v>570</v>
      </c>
      <c r="Y475" s="231" t="s">
        <v>571</v>
      </c>
      <c r="AA475" s="231">
        <f t="shared" si="311"/>
        <v>0</v>
      </c>
      <c r="AB475" s="231">
        <f t="shared" si="312"/>
        <v>0</v>
      </c>
      <c r="AC475" s="231">
        <f t="shared" si="313"/>
        <v>0</v>
      </c>
      <c r="AD475" s="231">
        <f t="shared" si="314"/>
        <v>1</v>
      </c>
      <c r="AE475" s="231">
        <f t="shared" si="315"/>
        <v>0</v>
      </c>
      <c r="AF475" s="231">
        <f t="shared" si="316"/>
        <v>0</v>
      </c>
      <c r="AG475" s="231">
        <f t="shared" si="317"/>
        <v>1</v>
      </c>
      <c r="AH475" s="231">
        <f t="shared" si="318"/>
        <v>0</v>
      </c>
      <c r="AI475" s="231">
        <f t="shared" si="319"/>
        <v>1</v>
      </c>
      <c r="AJ475" s="231">
        <f t="shared" si="320"/>
        <v>0</v>
      </c>
      <c r="AK475" s="231">
        <f t="shared" si="321"/>
        <v>0</v>
      </c>
      <c r="AL475" s="231">
        <f t="shared" si="322"/>
        <v>1</v>
      </c>
      <c r="AM475" s="231">
        <f t="shared" si="323"/>
        <v>4</v>
      </c>
    </row>
    <row r="476" spans="4:39" x14ac:dyDescent="0.25">
      <c r="D476" s="231">
        <v>318</v>
      </c>
      <c r="E476" s="231" t="s">
        <v>72</v>
      </c>
      <c r="F476" s="231" t="s">
        <v>73</v>
      </c>
      <c r="H476" s="231" t="s">
        <v>69</v>
      </c>
      <c r="K476" s="231" t="s">
        <v>77</v>
      </c>
      <c r="L476" s="231" t="s">
        <v>78</v>
      </c>
      <c r="M476" s="231" t="s">
        <v>515</v>
      </c>
      <c r="N476" s="231" t="s">
        <v>516</v>
      </c>
      <c r="P476" s="231" t="s">
        <v>70</v>
      </c>
      <c r="R476" s="231" t="s">
        <v>568</v>
      </c>
      <c r="S476" s="231" t="s">
        <v>565</v>
      </c>
      <c r="T476" s="231" t="s">
        <v>574</v>
      </c>
      <c r="U476" s="231" t="s">
        <v>572</v>
      </c>
      <c r="V476" s="231" t="s">
        <v>575</v>
      </c>
      <c r="W476" s="231" t="s">
        <v>569</v>
      </c>
      <c r="X476" s="231" t="s">
        <v>570</v>
      </c>
      <c r="Y476" s="231" t="s">
        <v>566</v>
      </c>
      <c r="AA476" s="231">
        <f t="shared" si="311"/>
        <v>0</v>
      </c>
      <c r="AB476" s="231">
        <f t="shared" si="312"/>
        <v>0</v>
      </c>
      <c r="AC476" s="231">
        <f t="shared" si="313"/>
        <v>0</v>
      </c>
      <c r="AD476" s="231">
        <f t="shared" si="314"/>
        <v>1</v>
      </c>
      <c r="AE476" s="231">
        <f t="shared" si="315"/>
        <v>0</v>
      </c>
      <c r="AF476" s="231">
        <f t="shared" si="316"/>
        <v>0</v>
      </c>
      <c r="AG476" s="231">
        <f t="shared" si="317"/>
        <v>1</v>
      </c>
      <c r="AH476" s="231">
        <f t="shared" si="318"/>
        <v>0</v>
      </c>
      <c r="AI476" s="231">
        <f t="shared" si="319"/>
        <v>1</v>
      </c>
      <c r="AJ476" s="231">
        <f t="shared" si="320"/>
        <v>1</v>
      </c>
      <c r="AK476" s="231">
        <f t="shared" si="321"/>
        <v>0</v>
      </c>
      <c r="AL476" s="231">
        <f t="shared" si="322"/>
        <v>1</v>
      </c>
      <c r="AM476" s="231">
        <f t="shared" si="323"/>
        <v>5</v>
      </c>
    </row>
    <row r="477" spans="4:39" x14ac:dyDescent="0.25">
      <c r="D477" s="231">
        <v>319</v>
      </c>
      <c r="E477" s="231" t="s">
        <v>72</v>
      </c>
      <c r="F477" s="231" t="s">
        <v>73</v>
      </c>
      <c r="H477" s="231" t="s">
        <v>69</v>
      </c>
      <c r="K477" s="231" t="s">
        <v>77</v>
      </c>
      <c r="L477" s="231" t="s">
        <v>78</v>
      </c>
      <c r="M477" s="231" t="s">
        <v>515</v>
      </c>
      <c r="N477" s="231" t="s">
        <v>516</v>
      </c>
      <c r="O477" s="232" t="s">
        <v>517</v>
      </c>
      <c r="R477" s="231" t="s">
        <v>568</v>
      </c>
      <c r="S477" s="231" t="s">
        <v>565</v>
      </c>
      <c r="T477" s="231" t="s">
        <v>574</v>
      </c>
      <c r="U477" s="231" t="s">
        <v>572</v>
      </c>
      <c r="V477" s="231" t="s">
        <v>575</v>
      </c>
      <c r="W477" s="231" t="s">
        <v>569</v>
      </c>
      <c r="X477" s="231" t="s">
        <v>566</v>
      </c>
      <c r="Y477" s="231" t="s">
        <v>571</v>
      </c>
      <c r="AA477" s="231">
        <f t="shared" si="311"/>
        <v>0</v>
      </c>
      <c r="AB477" s="231">
        <f t="shared" si="312"/>
        <v>0</v>
      </c>
      <c r="AC477" s="231">
        <f t="shared" si="313"/>
        <v>0</v>
      </c>
      <c r="AD477" s="231">
        <f t="shared" si="314"/>
        <v>1</v>
      </c>
      <c r="AE477" s="231">
        <f t="shared" si="315"/>
        <v>0</v>
      </c>
      <c r="AF477" s="231">
        <f t="shared" si="316"/>
        <v>0</v>
      </c>
      <c r="AG477" s="231">
        <f t="shared" si="317"/>
        <v>1</v>
      </c>
      <c r="AH477" s="231">
        <f t="shared" si="318"/>
        <v>0</v>
      </c>
      <c r="AI477" s="231">
        <f t="shared" si="319"/>
        <v>1</v>
      </c>
      <c r="AJ477" s="231">
        <f t="shared" si="320"/>
        <v>1</v>
      </c>
      <c r="AK477" s="231">
        <f t="shared" si="321"/>
        <v>0</v>
      </c>
      <c r="AL477" s="231">
        <f t="shared" si="322"/>
        <v>0</v>
      </c>
      <c r="AM477" s="231">
        <f t="shared" si="323"/>
        <v>4</v>
      </c>
    </row>
    <row r="478" spans="4:39" x14ac:dyDescent="0.25">
      <c r="D478" s="231">
        <v>320</v>
      </c>
      <c r="E478" s="231" t="s">
        <v>72</v>
      </c>
      <c r="F478" s="231" t="s">
        <v>73</v>
      </c>
      <c r="H478" s="231" t="s">
        <v>69</v>
      </c>
      <c r="J478" s="231" t="s">
        <v>75</v>
      </c>
      <c r="M478" s="231" t="s">
        <v>515</v>
      </c>
      <c r="N478" s="231" t="s">
        <v>516</v>
      </c>
      <c r="O478" s="232" t="s">
        <v>517</v>
      </c>
      <c r="P478" s="231" t="s">
        <v>70</v>
      </c>
      <c r="R478" s="231" t="s">
        <v>566</v>
      </c>
      <c r="S478" s="231" t="s">
        <v>565</v>
      </c>
      <c r="T478" s="231" t="s">
        <v>574</v>
      </c>
      <c r="U478" s="231" t="s">
        <v>572</v>
      </c>
      <c r="V478" s="231" t="s">
        <v>575</v>
      </c>
      <c r="W478" s="231" t="s">
        <v>567</v>
      </c>
      <c r="X478" s="231" t="s">
        <v>570</v>
      </c>
      <c r="Y478" s="231" t="s">
        <v>571</v>
      </c>
      <c r="AA478" s="231">
        <f t="shared" si="311"/>
        <v>0</v>
      </c>
      <c r="AB478" s="231">
        <f t="shared" si="312"/>
        <v>0</v>
      </c>
      <c r="AC478" s="231">
        <f t="shared" si="313"/>
        <v>0</v>
      </c>
      <c r="AD478" s="231">
        <f t="shared" si="314"/>
        <v>1</v>
      </c>
      <c r="AE478" s="231">
        <f t="shared" si="315"/>
        <v>0</v>
      </c>
      <c r="AF478" s="231">
        <f t="shared" si="316"/>
        <v>1</v>
      </c>
      <c r="AG478" s="231">
        <f t="shared" si="317"/>
        <v>0</v>
      </c>
      <c r="AH478" s="231">
        <f t="shared" si="318"/>
        <v>0</v>
      </c>
      <c r="AI478" s="231">
        <f t="shared" si="319"/>
        <v>1</v>
      </c>
      <c r="AJ478" s="231">
        <f t="shared" si="320"/>
        <v>1</v>
      </c>
      <c r="AK478" s="231">
        <f t="shared" si="321"/>
        <v>0</v>
      </c>
      <c r="AL478" s="231">
        <f t="shared" si="322"/>
        <v>1</v>
      </c>
      <c r="AM478" s="231">
        <f t="shared" si="323"/>
        <v>5</v>
      </c>
    </row>
    <row r="479" spans="4:39" x14ac:dyDescent="0.25">
      <c r="D479" s="231">
        <v>321</v>
      </c>
      <c r="E479" s="231" t="s">
        <v>72</v>
      </c>
      <c r="F479" s="231" t="s">
        <v>73</v>
      </c>
      <c r="H479" s="231" t="s">
        <v>69</v>
      </c>
      <c r="J479" s="231" t="s">
        <v>75</v>
      </c>
      <c r="L479" s="231" t="s">
        <v>78</v>
      </c>
      <c r="N479" s="231" t="s">
        <v>516</v>
      </c>
      <c r="O479" s="232" t="s">
        <v>517</v>
      </c>
      <c r="P479" s="231" t="s">
        <v>70</v>
      </c>
      <c r="R479" s="231" t="s">
        <v>568</v>
      </c>
      <c r="S479" s="231" t="s">
        <v>565</v>
      </c>
      <c r="T479" s="231" t="s">
        <v>574</v>
      </c>
      <c r="U479" s="231" t="s">
        <v>572</v>
      </c>
      <c r="V479" s="231" t="s">
        <v>575</v>
      </c>
      <c r="W479" s="231" t="s">
        <v>567</v>
      </c>
      <c r="X479" s="231" t="s">
        <v>570</v>
      </c>
      <c r="Y479" s="231" t="s">
        <v>571</v>
      </c>
      <c r="AA479" s="231">
        <f t="shared" si="311"/>
        <v>0</v>
      </c>
      <c r="AB479" s="231">
        <f t="shared" si="312"/>
        <v>0</v>
      </c>
      <c r="AC479" s="231">
        <f t="shared" si="313"/>
        <v>0</v>
      </c>
      <c r="AD479" s="231">
        <f t="shared" si="314"/>
        <v>1</v>
      </c>
      <c r="AE479" s="231">
        <f t="shared" si="315"/>
        <v>0</v>
      </c>
      <c r="AF479" s="231">
        <f t="shared" si="316"/>
        <v>1</v>
      </c>
      <c r="AG479" s="231">
        <f t="shared" si="317"/>
        <v>0</v>
      </c>
      <c r="AH479" s="231">
        <f t="shared" si="318"/>
        <v>0</v>
      </c>
      <c r="AI479" s="231">
        <f t="shared" si="319"/>
        <v>0</v>
      </c>
      <c r="AJ479" s="231">
        <f t="shared" si="320"/>
        <v>1</v>
      </c>
      <c r="AK479" s="231">
        <f t="shared" si="321"/>
        <v>0</v>
      </c>
      <c r="AL479" s="231">
        <f t="shared" si="322"/>
        <v>1</v>
      </c>
      <c r="AM479" s="231">
        <f t="shared" si="323"/>
        <v>4</v>
      </c>
    </row>
    <row r="480" spans="4:39" x14ac:dyDescent="0.25">
      <c r="D480" s="231">
        <v>322</v>
      </c>
      <c r="E480" s="231" t="s">
        <v>72</v>
      </c>
      <c r="F480" s="231" t="s">
        <v>73</v>
      </c>
      <c r="H480" s="231" t="s">
        <v>69</v>
      </c>
      <c r="J480" s="231" t="s">
        <v>75</v>
      </c>
      <c r="L480" s="231" t="s">
        <v>78</v>
      </c>
      <c r="M480" s="231" t="s">
        <v>515</v>
      </c>
      <c r="O480" s="232" t="s">
        <v>517</v>
      </c>
      <c r="P480" s="231" t="s">
        <v>70</v>
      </c>
      <c r="R480" s="231" t="s">
        <v>568</v>
      </c>
      <c r="S480" s="231" t="s">
        <v>566</v>
      </c>
      <c r="T480" s="231" t="s">
        <v>574</v>
      </c>
      <c r="U480" s="231" t="s">
        <v>572</v>
      </c>
      <c r="V480" s="231" t="s">
        <v>575</v>
      </c>
      <c r="W480" s="231" t="s">
        <v>567</v>
      </c>
      <c r="X480" s="231" t="s">
        <v>570</v>
      </c>
      <c r="Y480" s="231" t="s">
        <v>571</v>
      </c>
      <c r="AA480" s="231">
        <f t="shared" ref="AA480:AA543" si="324">IF(AND(E480&lt;&gt;"",AA$158=1),1,0)</f>
        <v>0</v>
      </c>
      <c r="AB480" s="231">
        <f t="shared" ref="AB480:AB543" si="325">IF(AND(F480&lt;&gt;"",AB$158=1),1,0)</f>
        <v>0</v>
      </c>
      <c r="AC480" s="231">
        <f t="shared" ref="AC480:AC543" si="326">IF(AND(G480&lt;&gt;"",AC$158=1),1,0)</f>
        <v>0</v>
      </c>
      <c r="AD480" s="231">
        <f t="shared" ref="AD480:AD543" si="327">IF(AND(H480&lt;&gt;"",AD$158=1),1,0)</f>
        <v>1</v>
      </c>
      <c r="AE480" s="231">
        <f t="shared" ref="AE480:AE543" si="328">IF(AND(I480&lt;&gt;"",AE$158=1),1,0)</f>
        <v>0</v>
      </c>
      <c r="AF480" s="231">
        <f t="shared" ref="AF480:AF543" si="329">IF(AND(J480&lt;&gt;"",AF$158=1),1,0)</f>
        <v>1</v>
      </c>
      <c r="AG480" s="231">
        <f t="shared" ref="AG480:AG543" si="330">IF(AND(K480&lt;&gt;"",AG$158=1),1,0)</f>
        <v>0</v>
      </c>
      <c r="AH480" s="231">
        <f t="shared" ref="AH480:AH543" si="331">IF(AND(L480&lt;&gt;"",AH$158=1),1,0)</f>
        <v>0</v>
      </c>
      <c r="AI480" s="231">
        <f t="shared" ref="AI480:AI543" si="332">IF(AND(M480&lt;&gt;"",AI$158=1),1,0)</f>
        <v>1</v>
      </c>
      <c r="AJ480" s="231">
        <f t="shared" ref="AJ480:AJ543" si="333">IF(AND(N480&lt;&gt;"",AJ$158=1),1,0)</f>
        <v>0</v>
      </c>
      <c r="AK480" s="231">
        <f t="shared" ref="AK480:AK543" si="334">IF(AND(O480&lt;&gt;"",AK$158=1),1,0)</f>
        <v>0</v>
      </c>
      <c r="AL480" s="231">
        <f t="shared" ref="AL480:AL543" si="335">IF(AND(P480&lt;&gt;"",AL$158=1),1,0)</f>
        <v>1</v>
      </c>
      <c r="AM480" s="231">
        <f t="shared" ref="AM480:AM543" si="336">SUM(AA480:AL480)</f>
        <v>4</v>
      </c>
    </row>
    <row r="481" spans="4:39" x14ac:dyDescent="0.25">
      <c r="D481" s="231">
        <v>323</v>
      </c>
      <c r="E481" s="231" t="s">
        <v>72</v>
      </c>
      <c r="F481" s="231" t="s">
        <v>73</v>
      </c>
      <c r="H481" s="231" t="s">
        <v>69</v>
      </c>
      <c r="J481" s="231" t="s">
        <v>75</v>
      </c>
      <c r="L481" s="231" t="s">
        <v>78</v>
      </c>
      <c r="M481" s="231" t="s">
        <v>515</v>
      </c>
      <c r="N481" s="231" t="s">
        <v>516</v>
      </c>
      <c r="P481" s="231" t="s">
        <v>70</v>
      </c>
      <c r="R481" s="231" t="s">
        <v>568</v>
      </c>
      <c r="S481" s="231" t="s">
        <v>565</v>
      </c>
      <c r="T481" s="231" t="s">
        <v>574</v>
      </c>
      <c r="U481" s="231" t="s">
        <v>572</v>
      </c>
      <c r="V481" s="231" t="s">
        <v>575</v>
      </c>
      <c r="W481" s="231" t="s">
        <v>567</v>
      </c>
      <c r="X481" s="231" t="s">
        <v>570</v>
      </c>
      <c r="Y481" s="231" t="s">
        <v>566</v>
      </c>
      <c r="AA481" s="231">
        <f t="shared" si="324"/>
        <v>0</v>
      </c>
      <c r="AB481" s="231">
        <f t="shared" si="325"/>
        <v>0</v>
      </c>
      <c r="AC481" s="231">
        <f t="shared" si="326"/>
        <v>0</v>
      </c>
      <c r="AD481" s="231">
        <f t="shared" si="327"/>
        <v>1</v>
      </c>
      <c r="AE481" s="231">
        <f t="shared" si="328"/>
        <v>0</v>
      </c>
      <c r="AF481" s="231">
        <f t="shared" si="329"/>
        <v>1</v>
      </c>
      <c r="AG481" s="231">
        <f t="shared" si="330"/>
        <v>0</v>
      </c>
      <c r="AH481" s="231">
        <f t="shared" si="331"/>
        <v>0</v>
      </c>
      <c r="AI481" s="231">
        <f t="shared" si="332"/>
        <v>1</v>
      </c>
      <c r="AJ481" s="231">
        <f t="shared" si="333"/>
        <v>1</v>
      </c>
      <c r="AK481" s="231">
        <f t="shared" si="334"/>
        <v>0</v>
      </c>
      <c r="AL481" s="231">
        <f t="shared" si="335"/>
        <v>1</v>
      </c>
      <c r="AM481" s="231">
        <f t="shared" si="336"/>
        <v>5</v>
      </c>
    </row>
    <row r="482" spans="4:39" x14ac:dyDescent="0.25">
      <c r="D482" s="231">
        <v>324</v>
      </c>
      <c r="E482" s="231" t="s">
        <v>72</v>
      </c>
      <c r="F482" s="231" t="s">
        <v>73</v>
      </c>
      <c r="H482" s="231" t="s">
        <v>69</v>
      </c>
      <c r="J482" s="231" t="s">
        <v>75</v>
      </c>
      <c r="L482" s="231" t="s">
        <v>78</v>
      </c>
      <c r="M482" s="231" t="s">
        <v>515</v>
      </c>
      <c r="N482" s="231" t="s">
        <v>516</v>
      </c>
      <c r="O482" s="232" t="s">
        <v>517</v>
      </c>
      <c r="R482" s="231" t="s">
        <v>568</v>
      </c>
      <c r="S482" s="231" t="s">
        <v>565</v>
      </c>
      <c r="T482" s="231" t="s">
        <v>574</v>
      </c>
      <c r="U482" s="231" t="s">
        <v>572</v>
      </c>
      <c r="V482" s="231" t="s">
        <v>575</v>
      </c>
      <c r="W482" s="231" t="s">
        <v>567</v>
      </c>
      <c r="X482" s="231" t="s">
        <v>566</v>
      </c>
      <c r="Y482" s="231" t="s">
        <v>571</v>
      </c>
      <c r="AA482" s="231">
        <f t="shared" si="324"/>
        <v>0</v>
      </c>
      <c r="AB482" s="231">
        <f t="shared" si="325"/>
        <v>0</v>
      </c>
      <c r="AC482" s="231">
        <f t="shared" si="326"/>
        <v>0</v>
      </c>
      <c r="AD482" s="231">
        <f t="shared" si="327"/>
        <v>1</v>
      </c>
      <c r="AE482" s="231">
        <f t="shared" si="328"/>
        <v>0</v>
      </c>
      <c r="AF482" s="231">
        <f t="shared" si="329"/>
        <v>1</v>
      </c>
      <c r="AG482" s="231">
        <f t="shared" si="330"/>
        <v>0</v>
      </c>
      <c r="AH482" s="231">
        <f t="shared" si="331"/>
        <v>0</v>
      </c>
      <c r="AI482" s="231">
        <f t="shared" si="332"/>
        <v>1</v>
      </c>
      <c r="AJ482" s="231">
        <f t="shared" si="333"/>
        <v>1</v>
      </c>
      <c r="AK482" s="231">
        <f t="shared" si="334"/>
        <v>0</v>
      </c>
      <c r="AL482" s="231">
        <f t="shared" si="335"/>
        <v>0</v>
      </c>
      <c r="AM482" s="231">
        <f t="shared" si="336"/>
        <v>4</v>
      </c>
    </row>
    <row r="483" spans="4:39" x14ac:dyDescent="0.25">
      <c r="D483" s="231">
        <v>325</v>
      </c>
      <c r="E483" s="231" t="s">
        <v>72</v>
      </c>
      <c r="F483" s="231" t="s">
        <v>73</v>
      </c>
      <c r="H483" s="231" t="s">
        <v>69</v>
      </c>
      <c r="J483" s="231" t="s">
        <v>75</v>
      </c>
      <c r="K483" s="231" t="s">
        <v>77</v>
      </c>
      <c r="N483" s="231" t="s">
        <v>516</v>
      </c>
      <c r="O483" s="232" t="s">
        <v>517</v>
      </c>
      <c r="P483" s="231" t="s">
        <v>70</v>
      </c>
      <c r="R483" s="231" t="s">
        <v>567</v>
      </c>
      <c r="S483" s="231" t="s">
        <v>565</v>
      </c>
      <c r="T483" s="231" t="s">
        <v>574</v>
      </c>
      <c r="U483" s="231" t="s">
        <v>572</v>
      </c>
      <c r="V483" s="231" t="s">
        <v>575</v>
      </c>
      <c r="W483" s="231" t="s">
        <v>569</v>
      </c>
      <c r="X483" s="231" t="s">
        <v>570</v>
      </c>
      <c r="Y483" s="231" t="s">
        <v>571</v>
      </c>
      <c r="AA483" s="231">
        <f t="shared" si="324"/>
        <v>0</v>
      </c>
      <c r="AB483" s="231">
        <f t="shared" si="325"/>
        <v>0</v>
      </c>
      <c r="AC483" s="231">
        <f t="shared" si="326"/>
        <v>0</v>
      </c>
      <c r="AD483" s="231">
        <f t="shared" si="327"/>
        <v>1</v>
      </c>
      <c r="AE483" s="231">
        <f t="shared" si="328"/>
        <v>0</v>
      </c>
      <c r="AF483" s="231">
        <f t="shared" si="329"/>
        <v>1</v>
      </c>
      <c r="AG483" s="231">
        <f t="shared" si="330"/>
        <v>1</v>
      </c>
      <c r="AH483" s="231">
        <f t="shared" si="331"/>
        <v>0</v>
      </c>
      <c r="AI483" s="231">
        <f t="shared" si="332"/>
        <v>0</v>
      </c>
      <c r="AJ483" s="231">
        <f t="shared" si="333"/>
        <v>1</v>
      </c>
      <c r="AK483" s="231">
        <f t="shared" si="334"/>
        <v>0</v>
      </c>
      <c r="AL483" s="231">
        <f t="shared" si="335"/>
        <v>1</v>
      </c>
      <c r="AM483" s="231">
        <f t="shared" si="336"/>
        <v>5</v>
      </c>
    </row>
    <row r="484" spans="4:39" x14ac:dyDescent="0.25">
      <c r="D484" s="231">
        <v>326</v>
      </c>
      <c r="E484" s="231" t="s">
        <v>72</v>
      </c>
      <c r="F484" s="231" t="s">
        <v>73</v>
      </c>
      <c r="H484" s="231" t="s">
        <v>69</v>
      </c>
      <c r="J484" s="231" t="s">
        <v>75</v>
      </c>
      <c r="K484" s="231" t="s">
        <v>77</v>
      </c>
      <c r="M484" s="231" t="s">
        <v>515</v>
      </c>
      <c r="O484" s="232" t="s">
        <v>517</v>
      </c>
      <c r="P484" s="231" t="s">
        <v>70</v>
      </c>
      <c r="R484" s="231" t="s">
        <v>566</v>
      </c>
      <c r="S484" s="231" t="s">
        <v>569</v>
      </c>
      <c r="T484" s="231" t="s">
        <v>574</v>
      </c>
      <c r="U484" s="231" t="s">
        <v>572</v>
      </c>
      <c r="V484" s="231" t="s">
        <v>575</v>
      </c>
      <c r="W484" s="231" t="s">
        <v>567</v>
      </c>
      <c r="X484" s="231" t="s">
        <v>570</v>
      </c>
      <c r="Y484" s="231" t="s">
        <v>571</v>
      </c>
      <c r="AA484" s="231">
        <f t="shared" si="324"/>
        <v>0</v>
      </c>
      <c r="AB484" s="231">
        <f t="shared" si="325"/>
        <v>0</v>
      </c>
      <c r="AC484" s="231">
        <f t="shared" si="326"/>
        <v>0</v>
      </c>
      <c r="AD484" s="231">
        <f t="shared" si="327"/>
        <v>1</v>
      </c>
      <c r="AE484" s="231">
        <f t="shared" si="328"/>
        <v>0</v>
      </c>
      <c r="AF484" s="231">
        <f t="shared" si="329"/>
        <v>1</v>
      </c>
      <c r="AG484" s="231">
        <f t="shared" si="330"/>
        <v>1</v>
      </c>
      <c r="AH484" s="231">
        <f t="shared" si="331"/>
        <v>0</v>
      </c>
      <c r="AI484" s="231">
        <f t="shared" si="332"/>
        <v>1</v>
      </c>
      <c r="AJ484" s="231">
        <f t="shared" si="333"/>
        <v>0</v>
      </c>
      <c r="AK484" s="231">
        <f t="shared" si="334"/>
        <v>0</v>
      </c>
      <c r="AL484" s="231">
        <f t="shared" si="335"/>
        <v>1</v>
      </c>
      <c r="AM484" s="231">
        <f t="shared" si="336"/>
        <v>5</v>
      </c>
    </row>
    <row r="485" spans="4:39" x14ac:dyDescent="0.25">
      <c r="D485" s="231">
        <v>327</v>
      </c>
      <c r="E485" s="231" t="s">
        <v>72</v>
      </c>
      <c r="F485" s="231" t="s">
        <v>73</v>
      </c>
      <c r="H485" s="231" t="s">
        <v>69</v>
      </c>
      <c r="J485" s="231" t="s">
        <v>75</v>
      </c>
      <c r="K485" s="231" t="s">
        <v>77</v>
      </c>
      <c r="M485" s="231" t="s">
        <v>515</v>
      </c>
      <c r="N485" s="231" t="s">
        <v>516</v>
      </c>
      <c r="P485" s="231" t="s">
        <v>70</v>
      </c>
      <c r="R485" s="231" t="s">
        <v>567</v>
      </c>
      <c r="S485" s="231" t="s">
        <v>565</v>
      </c>
      <c r="T485" s="231" t="s">
        <v>574</v>
      </c>
      <c r="U485" s="231" t="s">
        <v>572</v>
      </c>
      <c r="V485" s="231" t="s">
        <v>575</v>
      </c>
      <c r="W485" s="231" t="s">
        <v>569</v>
      </c>
      <c r="X485" s="231" t="s">
        <v>570</v>
      </c>
      <c r="Y485" s="231" t="s">
        <v>566</v>
      </c>
      <c r="AA485" s="231">
        <f t="shared" si="324"/>
        <v>0</v>
      </c>
      <c r="AB485" s="231">
        <f t="shared" si="325"/>
        <v>0</v>
      </c>
      <c r="AC485" s="231">
        <f t="shared" si="326"/>
        <v>0</v>
      </c>
      <c r="AD485" s="231">
        <f t="shared" si="327"/>
        <v>1</v>
      </c>
      <c r="AE485" s="231">
        <f t="shared" si="328"/>
        <v>0</v>
      </c>
      <c r="AF485" s="231">
        <f t="shared" si="329"/>
        <v>1</v>
      </c>
      <c r="AG485" s="231">
        <f t="shared" si="330"/>
        <v>1</v>
      </c>
      <c r="AH485" s="231">
        <f t="shared" si="331"/>
        <v>0</v>
      </c>
      <c r="AI485" s="231">
        <f t="shared" si="332"/>
        <v>1</v>
      </c>
      <c r="AJ485" s="231">
        <f t="shared" si="333"/>
        <v>1</v>
      </c>
      <c r="AK485" s="231">
        <f t="shared" si="334"/>
        <v>0</v>
      </c>
      <c r="AL485" s="231">
        <f t="shared" si="335"/>
        <v>1</v>
      </c>
      <c r="AM485" s="231">
        <f t="shared" si="336"/>
        <v>6</v>
      </c>
    </row>
    <row r="486" spans="4:39" x14ac:dyDescent="0.25">
      <c r="D486" s="231">
        <v>328</v>
      </c>
      <c r="E486" s="231" t="s">
        <v>72</v>
      </c>
      <c r="F486" s="231" t="s">
        <v>73</v>
      </c>
      <c r="H486" s="231" t="s">
        <v>69</v>
      </c>
      <c r="J486" s="231" t="s">
        <v>75</v>
      </c>
      <c r="K486" s="231" t="s">
        <v>77</v>
      </c>
      <c r="M486" s="231" t="s">
        <v>515</v>
      </c>
      <c r="N486" s="231" t="s">
        <v>516</v>
      </c>
      <c r="O486" s="232" t="s">
        <v>517</v>
      </c>
      <c r="R486" s="231" t="s">
        <v>567</v>
      </c>
      <c r="S486" s="231" t="s">
        <v>565</v>
      </c>
      <c r="T486" s="231" t="s">
        <v>574</v>
      </c>
      <c r="U486" s="231" t="s">
        <v>572</v>
      </c>
      <c r="V486" s="231" t="s">
        <v>575</v>
      </c>
      <c r="W486" s="231" t="s">
        <v>569</v>
      </c>
      <c r="X486" s="231" t="s">
        <v>566</v>
      </c>
      <c r="Y486" s="231" t="s">
        <v>571</v>
      </c>
      <c r="AA486" s="231">
        <f t="shared" si="324"/>
        <v>0</v>
      </c>
      <c r="AB486" s="231">
        <f t="shared" si="325"/>
        <v>0</v>
      </c>
      <c r="AC486" s="231">
        <f t="shared" si="326"/>
        <v>0</v>
      </c>
      <c r="AD486" s="231">
        <f t="shared" si="327"/>
        <v>1</v>
      </c>
      <c r="AE486" s="231">
        <f t="shared" si="328"/>
        <v>0</v>
      </c>
      <c r="AF486" s="231">
        <f t="shared" si="329"/>
        <v>1</v>
      </c>
      <c r="AG486" s="231">
        <f t="shared" si="330"/>
        <v>1</v>
      </c>
      <c r="AH486" s="231">
        <f t="shared" si="331"/>
        <v>0</v>
      </c>
      <c r="AI486" s="231">
        <f t="shared" si="332"/>
        <v>1</v>
      </c>
      <c r="AJ486" s="231">
        <f t="shared" si="333"/>
        <v>1</v>
      </c>
      <c r="AK486" s="231">
        <f t="shared" si="334"/>
        <v>0</v>
      </c>
      <c r="AL486" s="231">
        <f t="shared" si="335"/>
        <v>0</v>
      </c>
      <c r="AM486" s="231">
        <f t="shared" si="336"/>
        <v>5</v>
      </c>
    </row>
    <row r="487" spans="4:39" x14ac:dyDescent="0.25">
      <c r="D487" s="231">
        <v>329</v>
      </c>
      <c r="E487" s="231" t="s">
        <v>72</v>
      </c>
      <c r="F487" s="231" t="s">
        <v>73</v>
      </c>
      <c r="H487" s="231" t="s">
        <v>69</v>
      </c>
      <c r="J487" s="231" t="s">
        <v>75</v>
      </c>
      <c r="K487" s="231" t="s">
        <v>77</v>
      </c>
      <c r="L487" s="231" t="s">
        <v>78</v>
      </c>
      <c r="O487" s="232" t="s">
        <v>517</v>
      </c>
      <c r="P487" s="231" t="s">
        <v>70</v>
      </c>
      <c r="R487" s="231" t="s">
        <v>568</v>
      </c>
      <c r="S487" s="231" t="s">
        <v>569</v>
      </c>
      <c r="T487" s="231" t="s">
        <v>574</v>
      </c>
      <c r="U487" s="231" t="s">
        <v>572</v>
      </c>
      <c r="V487" s="231" t="s">
        <v>575</v>
      </c>
      <c r="W487" s="231" t="s">
        <v>567</v>
      </c>
      <c r="X487" s="231" t="s">
        <v>570</v>
      </c>
      <c r="Y487" s="231" t="s">
        <v>571</v>
      </c>
      <c r="AA487" s="231">
        <f t="shared" si="324"/>
        <v>0</v>
      </c>
      <c r="AB487" s="231">
        <f t="shared" si="325"/>
        <v>0</v>
      </c>
      <c r="AC487" s="231">
        <f t="shared" si="326"/>
        <v>0</v>
      </c>
      <c r="AD487" s="231">
        <f t="shared" si="327"/>
        <v>1</v>
      </c>
      <c r="AE487" s="231">
        <f t="shared" si="328"/>
        <v>0</v>
      </c>
      <c r="AF487" s="231">
        <f t="shared" si="329"/>
        <v>1</v>
      </c>
      <c r="AG487" s="231">
        <f t="shared" si="330"/>
        <v>1</v>
      </c>
      <c r="AH487" s="231">
        <f t="shared" si="331"/>
        <v>0</v>
      </c>
      <c r="AI487" s="231">
        <f t="shared" si="332"/>
        <v>0</v>
      </c>
      <c r="AJ487" s="231">
        <f t="shared" si="333"/>
        <v>0</v>
      </c>
      <c r="AK487" s="231">
        <f t="shared" si="334"/>
        <v>0</v>
      </c>
      <c r="AL487" s="231">
        <f t="shared" si="335"/>
        <v>1</v>
      </c>
      <c r="AM487" s="231">
        <f t="shared" si="336"/>
        <v>4</v>
      </c>
    </row>
    <row r="488" spans="4:39" x14ac:dyDescent="0.25">
      <c r="D488" s="231">
        <v>330</v>
      </c>
      <c r="E488" s="231" t="s">
        <v>72</v>
      </c>
      <c r="F488" s="231" t="s">
        <v>73</v>
      </c>
      <c r="H488" s="231" t="s">
        <v>69</v>
      </c>
      <c r="J488" s="231" t="s">
        <v>75</v>
      </c>
      <c r="K488" s="231" t="s">
        <v>77</v>
      </c>
      <c r="L488" s="231" t="s">
        <v>78</v>
      </c>
      <c r="N488" s="231" t="s">
        <v>516</v>
      </c>
      <c r="P488" s="231" t="s">
        <v>70</v>
      </c>
      <c r="R488" s="231" t="s">
        <v>568</v>
      </c>
      <c r="S488" s="231" t="s">
        <v>569</v>
      </c>
      <c r="T488" s="231" t="s">
        <v>574</v>
      </c>
      <c r="U488" s="231" t="s">
        <v>572</v>
      </c>
      <c r="V488" s="231" t="s">
        <v>575</v>
      </c>
      <c r="W488" s="231" t="s">
        <v>567</v>
      </c>
      <c r="X488" s="231" t="s">
        <v>570</v>
      </c>
      <c r="Y488" s="231" t="s">
        <v>565</v>
      </c>
      <c r="AA488" s="231">
        <f t="shared" si="324"/>
        <v>0</v>
      </c>
      <c r="AB488" s="231">
        <f t="shared" si="325"/>
        <v>0</v>
      </c>
      <c r="AC488" s="231">
        <f t="shared" si="326"/>
        <v>0</v>
      </c>
      <c r="AD488" s="231">
        <f t="shared" si="327"/>
        <v>1</v>
      </c>
      <c r="AE488" s="231">
        <f t="shared" si="328"/>
        <v>0</v>
      </c>
      <c r="AF488" s="231">
        <f t="shared" si="329"/>
        <v>1</v>
      </c>
      <c r="AG488" s="231">
        <f t="shared" si="330"/>
        <v>1</v>
      </c>
      <c r="AH488" s="231">
        <f t="shared" si="331"/>
        <v>0</v>
      </c>
      <c r="AI488" s="231">
        <f t="shared" si="332"/>
        <v>0</v>
      </c>
      <c r="AJ488" s="231">
        <f t="shared" si="333"/>
        <v>1</v>
      </c>
      <c r="AK488" s="231">
        <f t="shared" si="334"/>
        <v>0</v>
      </c>
      <c r="AL488" s="231">
        <f t="shared" si="335"/>
        <v>1</v>
      </c>
      <c r="AM488" s="231">
        <f t="shared" si="336"/>
        <v>5</v>
      </c>
    </row>
    <row r="489" spans="4:39" x14ac:dyDescent="0.25">
      <c r="D489" s="231">
        <v>331</v>
      </c>
      <c r="E489" s="231" t="s">
        <v>72</v>
      </c>
      <c r="F489" s="231" t="s">
        <v>73</v>
      </c>
      <c r="H489" s="231" t="s">
        <v>69</v>
      </c>
      <c r="J489" s="231" t="s">
        <v>75</v>
      </c>
      <c r="K489" s="231" t="s">
        <v>77</v>
      </c>
      <c r="L489" s="231" t="s">
        <v>78</v>
      </c>
      <c r="N489" s="231" t="s">
        <v>516</v>
      </c>
      <c r="O489" s="232" t="s">
        <v>517</v>
      </c>
      <c r="R489" s="231" t="s">
        <v>568</v>
      </c>
      <c r="S489" s="231" t="s">
        <v>569</v>
      </c>
      <c r="T489" s="231" t="s">
        <v>574</v>
      </c>
      <c r="U489" s="231" t="s">
        <v>572</v>
      </c>
      <c r="V489" s="231" t="s">
        <v>575</v>
      </c>
      <c r="W489" s="231" t="s">
        <v>567</v>
      </c>
      <c r="X489" s="231" t="s">
        <v>565</v>
      </c>
      <c r="Y489" s="231" t="s">
        <v>571</v>
      </c>
      <c r="AA489" s="231">
        <f t="shared" si="324"/>
        <v>0</v>
      </c>
      <c r="AB489" s="231">
        <f t="shared" si="325"/>
        <v>0</v>
      </c>
      <c r="AC489" s="231">
        <f t="shared" si="326"/>
        <v>0</v>
      </c>
      <c r="AD489" s="231">
        <f t="shared" si="327"/>
        <v>1</v>
      </c>
      <c r="AE489" s="231">
        <f t="shared" si="328"/>
        <v>0</v>
      </c>
      <c r="AF489" s="231">
        <f t="shared" si="329"/>
        <v>1</v>
      </c>
      <c r="AG489" s="231">
        <f t="shared" si="330"/>
        <v>1</v>
      </c>
      <c r="AH489" s="231">
        <f t="shared" si="331"/>
        <v>0</v>
      </c>
      <c r="AI489" s="231">
        <f t="shared" si="332"/>
        <v>0</v>
      </c>
      <c r="AJ489" s="231">
        <f t="shared" si="333"/>
        <v>1</v>
      </c>
      <c r="AK489" s="231">
        <f t="shared" si="334"/>
        <v>0</v>
      </c>
      <c r="AL489" s="231">
        <f t="shared" si="335"/>
        <v>0</v>
      </c>
      <c r="AM489" s="231">
        <f t="shared" si="336"/>
        <v>4</v>
      </c>
    </row>
    <row r="490" spans="4:39" x14ac:dyDescent="0.25">
      <c r="D490" s="231">
        <v>332</v>
      </c>
      <c r="E490" s="231" t="s">
        <v>72</v>
      </c>
      <c r="F490" s="231" t="s">
        <v>73</v>
      </c>
      <c r="H490" s="231" t="s">
        <v>69</v>
      </c>
      <c r="J490" s="231" t="s">
        <v>75</v>
      </c>
      <c r="K490" s="231" t="s">
        <v>77</v>
      </c>
      <c r="L490" s="231" t="s">
        <v>78</v>
      </c>
      <c r="M490" s="231" t="s">
        <v>515</v>
      </c>
      <c r="P490" s="231" t="s">
        <v>70</v>
      </c>
      <c r="R490" s="231" t="s">
        <v>568</v>
      </c>
      <c r="S490" s="231" t="s">
        <v>569</v>
      </c>
      <c r="T490" s="231" t="s">
        <v>574</v>
      </c>
      <c r="U490" s="231" t="s">
        <v>572</v>
      </c>
      <c r="V490" s="231" t="s">
        <v>575</v>
      </c>
      <c r="W490" s="231" t="s">
        <v>567</v>
      </c>
      <c r="X490" s="231" t="s">
        <v>570</v>
      </c>
      <c r="Y490" s="231" t="s">
        <v>566</v>
      </c>
      <c r="AA490" s="231">
        <f t="shared" si="324"/>
        <v>0</v>
      </c>
      <c r="AB490" s="231">
        <f t="shared" si="325"/>
        <v>0</v>
      </c>
      <c r="AC490" s="231">
        <f t="shared" si="326"/>
        <v>0</v>
      </c>
      <c r="AD490" s="231">
        <f t="shared" si="327"/>
        <v>1</v>
      </c>
      <c r="AE490" s="231">
        <f t="shared" si="328"/>
        <v>0</v>
      </c>
      <c r="AF490" s="231">
        <f t="shared" si="329"/>
        <v>1</v>
      </c>
      <c r="AG490" s="231">
        <f t="shared" si="330"/>
        <v>1</v>
      </c>
      <c r="AH490" s="231">
        <f t="shared" si="331"/>
        <v>0</v>
      </c>
      <c r="AI490" s="231">
        <f t="shared" si="332"/>
        <v>1</v>
      </c>
      <c r="AJ490" s="231">
        <f t="shared" si="333"/>
        <v>0</v>
      </c>
      <c r="AK490" s="231">
        <f t="shared" si="334"/>
        <v>0</v>
      </c>
      <c r="AL490" s="231">
        <f t="shared" si="335"/>
        <v>1</v>
      </c>
      <c r="AM490" s="231">
        <f t="shared" si="336"/>
        <v>5</v>
      </c>
    </row>
    <row r="491" spans="4:39" x14ac:dyDescent="0.25">
      <c r="D491" s="231">
        <v>333</v>
      </c>
      <c r="E491" s="231" t="s">
        <v>72</v>
      </c>
      <c r="F491" s="231" t="s">
        <v>73</v>
      </c>
      <c r="H491" s="231" t="s">
        <v>69</v>
      </c>
      <c r="J491" s="231" t="s">
        <v>75</v>
      </c>
      <c r="K491" s="231" t="s">
        <v>77</v>
      </c>
      <c r="L491" s="231" t="s">
        <v>78</v>
      </c>
      <c r="M491" s="231" t="s">
        <v>515</v>
      </c>
      <c r="O491" s="232" t="s">
        <v>517</v>
      </c>
      <c r="R491" s="231" t="s">
        <v>568</v>
      </c>
      <c r="S491" s="231" t="s">
        <v>569</v>
      </c>
      <c r="T491" s="231" t="s">
        <v>574</v>
      </c>
      <c r="U491" s="231" t="s">
        <v>572</v>
      </c>
      <c r="V491" s="231" t="s">
        <v>575</v>
      </c>
      <c r="W491" s="231" t="s">
        <v>567</v>
      </c>
      <c r="X491" s="231" t="s">
        <v>566</v>
      </c>
      <c r="Y491" s="231" t="s">
        <v>571</v>
      </c>
      <c r="AA491" s="231">
        <f t="shared" si="324"/>
        <v>0</v>
      </c>
      <c r="AB491" s="231">
        <f t="shared" si="325"/>
        <v>0</v>
      </c>
      <c r="AC491" s="231">
        <f t="shared" si="326"/>
        <v>0</v>
      </c>
      <c r="AD491" s="231">
        <f t="shared" si="327"/>
        <v>1</v>
      </c>
      <c r="AE491" s="231">
        <f t="shared" si="328"/>
        <v>0</v>
      </c>
      <c r="AF491" s="231">
        <f t="shared" si="329"/>
        <v>1</v>
      </c>
      <c r="AG491" s="231">
        <f t="shared" si="330"/>
        <v>1</v>
      </c>
      <c r="AH491" s="231">
        <f t="shared" si="331"/>
        <v>0</v>
      </c>
      <c r="AI491" s="231">
        <f t="shared" si="332"/>
        <v>1</v>
      </c>
      <c r="AJ491" s="231">
        <f t="shared" si="333"/>
        <v>0</v>
      </c>
      <c r="AK491" s="231">
        <f t="shared" si="334"/>
        <v>0</v>
      </c>
      <c r="AL491" s="231">
        <f t="shared" si="335"/>
        <v>0</v>
      </c>
      <c r="AM491" s="231">
        <f t="shared" si="336"/>
        <v>4</v>
      </c>
    </row>
    <row r="492" spans="4:39" x14ac:dyDescent="0.25">
      <c r="D492" s="231">
        <v>334</v>
      </c>
      <c r="E492" s="231" t="s">
        <v>72</v>
      </c>
      <c r="F492" s="231" t="s">
        <v>73</v>
      </c>
      <c r="H492" s="231" t="s">
        <v>69</v>
      </c>
      <c r="J492" s="231" t="s">
        <v>75</v>
      </c>
      <c r="K492" s="231" t="s">
        <v>77</v>
      </c>
      <c r="L492" s="231" t="s">
        <v>78</v>
      </c>
      <c r="M492" s="231" t="s">
        <v>515</v>
      </c>
      <c r="N492" s="231" t="s">
        <v>516</v>
      </c>
      <c r="R492" s="231" t="s">
        <v>568</v>
      </c>
      <c r="S492" s="231" t="s">
        <v>569</v>
      </c>
      <c r="T492" s="231" t="s">
        <v>574</v>
      </c>
      <c r="U492" s="231" t="s">
        <v>572</v>
      </c>
      <c r="V492" s="231" t="s">
        <v>575</v>
      </c>
      <c r="W492" s="231" t="s">
        <v>567</v>
      </c>
      <c r="X492" s="231" t="s">
        <v>566</v>
      </c>
      <c r="Y492" s="231" t="s">
        <v>565</v>
      </c>
      <c r="AA492" s="231">
        <f t="shared" si="324"/>
        <v>0</v>
      </c>
      <c r="AB492" s="231">
        <f t="shared" si="325"/>
        <v>0</v>
      </c>
      <c r="AC492" s="231">
        <f t="shared" si="326"/>
        <v>0</v>
      </c>
      <c r="AD492" s="231">
        <f t="shared" si="327"/>
        <v>1</v>
      </c>
      <c r="AE492" s="231">
        <f t="shared" si="328"/>
        <v>0</v>
      </c>
      <c r="AF492" s="231">
        <f t="shared" si="329"/>
        <v>1</v>
      </c>
      <c r="AG492" s="231">
        <f t="shared" si="330"/>
        <v>1</v>
      </c>
      <c r="AH492" s="231">
        <f t="shared" si="331"/>
        <v>0</v>
      </c>
      <c r="AI492" s="231">
        <f t="shared" si="332"/>
        <v>1</v>
      </c>
      <c r="AJ492" s="231">
        <f t="shared" si="333"/>
        <v>1</v>
      </c>
      <c r="AK492" s="231">
        <f t="shared" si="334"/>
        <v>0</v>
      </c>
      <c r="AL492" s="231">
        <f t="shared" si="335"/>
        <v>0</v>
      </c>
      <c r="AM492" s="231">
        <f t="shared" si="336"/>
        <v>5</v>
      </c>
    </row>
    <row r="493" spans="4:39" x14ac:dyDescent="0.25">
      <c r="D493" s="231">
        <v>335</v>
      </c>
      <c r="E493" s="231" t="s">
        <v>72</v>
      </c>
      <c r="F493" s="231" t="s">
        <v>73</v>
      </c>
      <c r="H493" s="231" t="s">
        <v>69</v>
      </c>
      <c r="I493" s="231" t="s">
        <v>76</v>
      </c>
      <c r="M493" s="231" t="s">
        <v>515</v>
      </c>
      <c r="N493" s="231" t="s">
        <v>516</v>
      </c>
      <c r="O493" s="232" t="s">
        <v>517</v>
      </c>
      <c r="P493" s="231" t="s">
        <v>70</v>
      </c>
      <c r="R493" s="231" t="s">
        <v>564</v>
      </c>
      <c r="S493" s="231" t="s">
        <v>565</v>
      </c>
      <c r="T493" s="231" t="s">
        <v>574</v>
      </c>
      <c r="U493" s="231" t="s">
        <v>575</v>
      </c>
      <c r="V493" s="231" t="s">
        <v>566</v>
      </c>
      <c r="W493" s="231" t="s">
        <v>572</v>
      </c>
      <c r="X493" s="231" t="s">
        <v>570</v>
      </c>
      <c r="Y493" s="231" t="s">
        <v>571</v>
      </c>
      <c r="AA493" s="231">
        <f t="shared" si="324"/>
        <v>0</v>
      </c>
      <c r="AB493" s="231">
        <f t="shared" si="325"/>
        <v>0</v>
      </c>
      <c r="AC493" s="231">
        <f t="shared" si="326"/>
        <v>0</v>
      </c>
      <c r="AD493" s="231">
        <f t="shared" si="327"/>
        <v>1</v>
      </c>
      <c r="AE493" s="231">
        <f t="shared" si="328"/>
        <v>1</v>
      </c>
      <c r="AF493" s="231">
        <f t="shared" si="329"/>
        <v>0</v>
      </c>
      <c r="AG493" s="231">
        <f t="shared" si="330"/>
        <v>0</v>
      </c>
      <c r="AH493" s="231">
        <f t="shared" si="331"/>
        <v>0</v>
      </c>
      <c r="AI493" s="231">
        <f t="shared" si="332"/>
        <v>1</v>
      </c>
      <c r="AJ493" s="231">
        <f t="shared" si="333"/>
        <v>1</v>
      </c>
      <c r="AK493" s="231">
        <f t="shared" si="334"/>
        <v>0</v>
      </c>
      <c r="AL493" s="231">
        <f t="shared" si="335"/>
        <v>1</v>
      </c>
      <c r="AM493" s="231">
        <f t="shared" si="336"/>
        <v>5</v>
      </c>
    </row>
    <row r="494" spans="4:39" x14ac:dyDescent="0.25">
      <c r="D494" s="231">
        <v>336</v>
      </c>
      <c r="E494" s="231" t="s">
        <v>72</v>
      </c>
      <c r="F494" s="231" t="s">
        <v>73</v>
      </c>
      <c r="H494" s="231" t="s">
        <v>69</v>
      </c>
      <c r="I494" s="231" t="s">
        <v>76</v>
      </c>
      <c r="L494" s="231" t="s">
        <v>78</v>
      </c>
      <c r="N494" s="231" t="s">
        <v>516</v>
      </c>
      <c r="O494" s="232" t="s">
        <v>517</v>
      </c>
      <c r="P494" s="231" t="s">
        <v>70</v>
      </c>
      <c r="R494" s="231" t="s">
        <v>564</v>
      </c>
      <c r="S494" s="231" t="s">
        <v>565</v>
      </c>
      <c r="T494" s="231" t="s">
        <v>574</v>
      </c>
      <c r="U494" s="231" t="s">
        <v>572</v>
      </c>
      <c r="V494" s="231" t="s">
        <v>575</v>
      </c>
      <c r="W494" s="231" t="s">
        <v>568</v>
      </c>
      <c r="X494" s="231" t="s">
        <v>570</v>
      </c>
      <c r="Y494" s="231" t="s">
        <v>571</v>
      </c>
      <c r="AA494" s="231">
        <f t="shared" si="324"/>
        <v>0</v>
      </c>
      <c r="AB494" s="231">
        <f t="shared" si="325"/>
        <v>0</v>
      </c>
      <c r="AC494" s="231">
        <f t="shared" si="326"/>
        <v>0</v>
      </c>
      <c r="AD494" s="231">
        <f t="shared" si="327"/>
        <v>1</v>
      </c>
      <c r="AE494" s="231">
        <f t="shared" si="328"/>
        <v>1</v>
      </c>
      <c r="AF494" s="231">
        <f t="shared" si="329"/>
        <v>0</v>
      </c>
      <c r="AG494" s="231">
        <f t="shared" si="330"/>
        <v>0</v>
      </c>
      <c r="AH494" s="231">
        <f t="shared" si="331"/>
        <v>0</v>
      </c>
      <c r="AI494" s="231">
        <f t="shared" si="332"/>
        <v>0</v>
      </c>
      <c r="AJ494" s="231">
        <f t="shared" si="333"/>
        <v>1</v>
      </c>
      <c r="AK494" s="231">
        <f t="shared" si="334"/>
        <v>0</v>
      </c>
      <c r="AL494" s="231">
        <f t="shared" si="335"/>
        <v>1</v>
      </c>
      <c r="AM494" s="231">
        <f t="shared" si="336"/>
        <v>4</v>
      </c>
    </row>
    <row r="495" spans="4:39" x14ac:dyDescent="0.25">
      <c r="D495" s="231">
        <v>337</v>
      </c>
      <c r="E495" s="231" t="s">
        <v>72</v>
      </c>
      <c r="F495" s="231" t="s">
        <v>73</v>
      </c>
      <c r="H495" s="231" t="s">
        <v>69</v>
      </c>
      <c r="I495" s="231" t="s">
        <v>76</v>
      </c>
      <c r="L495" s="231" t="s">
        <v>78</v>
      </c>
      <c r="M495" s="231" t="s">
        <v>515</v>
      </c>
      <c r="O495" s="232" t="s">
        <v>517</v>
      </c>
      <c r="P495" s="231" t="s">
        <v>70</v>
      </c>
      <c r="R495" s="231" t="s">
        <v>564</v>
      </c>
      <c r="S495" s="231" t="s">
        <v>566</v>
      </c>
      <c r="T495" s="231" t="s">
        <v>574</v>
      </c>
      <c r="U495" s="231" t="s">
        <v>572</v>
      </c>
      <c r="V495" s="231" t="s">
        <v>575</v>
      </c>
      <c r="W495" s="231" t="s">
        <v>568</v>
      </c>
      <c r="X495" s="231" t="s">
        <v>570</v>
      </c>
      <c r="Y495" s="231" t="s">
        <v>571</v>
      </c>
      <c r="AA495" s="231">
        <f t="shared" si="324"/>
        <v>0</v>
      </c>
      <c r="AB495" s="231">
        <f t="shared" si="325"/>
        <v>0</v>
      </c>
      <c r="AC495" s="231">
        <f t="shared" si="326"/>
        <v>0</v>
      </c>
      <c r="AD495" s="231">
        <f t="shared" si="327"/>
        <v>1</v>
      </c>
      <c r="AE495" s="231">
        <f t="shared" si="328"/>
        <v>1</v>
      </c>
      <c r="AF495" s="231">
        <f t="shared" si="329"/>
        <v>0</v>
      </c>
      <c r="AG495" s="231">
        <f t="shared" si="330"/>
        <v>0</v>
      </c>
      <c r="AH495" s="231">
        <f t="shared" si="331"/>
        <v>0</v>
      </c>
      <c r="AI495" s="231">
        <f t="shared" si="332"/>
        <v>1</v>
      </c>
      <c r="AJ495" s="231">
        <f t="shared" si="333"/>
        <v>0</v>
      </c>
      <c r="AK495" s="231">
        <f t="shared" si="334"/>
        <v>0</v>
      </c>
      <c r="AL495" s="231">
        <f t="shared" si="335"/>
        <v>1</v>
      </c>
      <c r="AM495" s="231">
        <f t="shared" si="336"/>
        <v>4</v>
      </c>
    </row>
    <row r="496" spans="4:39" x14ac:dyDescent="0.25">
      <c r="D496" s="231">
        <v>338</v>
      </c>
      <c r="E496" s="231" t="s">
        <v>72</v>
      </c>
      <c r="F496" s="231" t="s">
        <v>73</v>
      </c>
      <c r="H496" s="231" t="s">
        <v>69</v>
      </c>
      <c r="I496" s="231" t="s">
        <v>76</v>
      </c>
      <c r="L496" s="231" t="s">
        <v>78</v>
      </c>
      <c r="M496" s="231" t="s">
        <v>515</v>
      </c>
      <c r="N496" s="231" t="s">
        <v>516</v>
      </c>
      <c r="P496" s="231" t="s">
        <v>70</v>
      </c>
      <c r="R496" s="231" t="s">
        <v>564</v>
      </c>
      <c r="S496" s="231" t="s">
        <v>565</v>
      </c>
      <c r="T496" s="231" t="s">
        <v>574</v>
      </c>
      <c r="U496" s="231" t="s">
        <v>572</v>
      </c>
      <c r="V496" s="231" t="s">
        <v>575</v>
      </c>
      <c r="W496" s="231" t="s">
        <v>568</v>
      </c>
      <c r="X496" s="231" t="s">
        <v>570</v>
      </c>
      <c r="Y496" s="231" t="s">
        <v>566</v>
      </c>
      <c r="AA496" s="231">
        <f t="shared" si="324"/>
        <v>0</v>
      </c>
      <c r="AB496" s="231">
        <f t="shared" si="325"/>
        <v>0</v>
      </c>
      <c r="AC496" s="231">
        <f t="shared" si="326"/>
        <v>0</v>
      </c>
      <c r="AD496" s="231">
        <f t="shared" si="327"/>
        <v>1</v>
      </c>
      <c r="AE496" s="231">
        <f t="shared" si="328"/>
        <v>1</v>
      </c>
      <c r="AF496" s="231">
        <f t="shared" si="329"/>
        <v>0</v>
      </c>
      <c r="AG496" s="231">
        <f t="shared" si="330"/>
        <v>0</v>
      </c>
      <c r="AH496" s="231">
        <f t="shared" si="331"/>
        <v>0</v>
      </c>
      <c r="AI496" s="231">
        <f t="shared" si="332"/>
        <v>1</v>
      </c>
      <c r="AJ496" s="231">
        <f t="shared" si="333"/>
        <v>1</v>
      </c>
      <c r="AK496" s="231">
        <f t="shared" si="334"/>
        <v>0</v>
      </c>
      <c r="AL496" s="231">
        <f t="shared" si="335"/>
        <v>1</v>
      </c>
      <c r="AM496" s="231">
        <f t="shared" si="336"/>
        <v>5</v>
      </c>
    </row>
    <row r="497" spans="4:39" x14ac:dyDescent="0.25">
      <c r="D497" s="231">
        <v>339</v>
      </c>
      <c r="E497" s="231" t="s">
        <v>72</v>
      </c>
      <c r="F497" s="231" t="s">
        <v>73</v>
      </c>
      <c r="H497" s="231" t="s">
        <v>69</v>
      </c>
      <c r="I497" s="231" t="s">
        <v>76</v>
      </c>
      <c r="L497" s="231" t="s">
        <v>78</v>
      </c>
      <c r="M497" s="231" t="s">
        <v>515</v>
      </c>
      <c r="N497" s="231" t="s">
        <v>516</v>
      </c>
      <c r="O497" s="232" t="s">
        <v>517</v>
      </c>
      <c r="R497" s="231" t="s">
        <v>564</v>
      </c>
      <c r="S497" s="231" t="s">
        <v>565</v>
      </c>
      <c r="T497" s="231" t="s">
        <v>574</v>
      </c>
      <c r="U497" s="231" t="s">
        <v>572</v>
      </c>
      <c r="V497" s="231" t="s">
        <v>575</v>
      </c>
      <c r="W497" s="231" t="s">
        <v>568</v>
      </c>
      <c r="X497" s="231" t="s">
        <v>566</v>
      </c>
      <c r="Y497" s="231" t="s">
        <v>571</v>
      </c>
      <c r="AA497" s="231">
        <f t="shared" si="324"/>
        <v>0</v>
      </c>
      <c r="AB497" s="231">
        <f t="shared" si="325"/>
        <v>0</v>
      </c>
      <c r="AC497" s="231">
        <f t="shared" si="326"/>
        <v>0</v>
      </c>
      <c r="AD497" s="231">
        <f t="shared" si="327"/>
        <v>1</v>
      </c>
      <c r="AE497" s="231">
        <f t="shared" si="328"/>
        <v>1</v>
      </c>
      <c r="AF497" s="231">
        <f t="shared" si="329"/>
        <v>0</v>
      </c>
      <c r="AG497" s="231">
        <f t="shared" si="330"/>
        <v>0</v>
      </c>
      <c r="AH497" s="231">
        <f t="shared" si="331"/>
        <v>0</v>
      </c>
      <c r="AI497" s="231">
        <f t="shared" si="332"/>
        <v>1</v>
      </c>
      <c r="AJ497" s="231">
        <f t="shared" si="333"/>
        <v>1</v>
      </c>
      <c r="AK497" s="231">
        <f t="shared" si="334"/>
        <v>0</v>
      </c>
      <c r="AL497" s="231">
        <f t="shared" si="335"/>
        <v>0</v>
      </c>
      <c r="AM497" s="231">
        <f t="shared" si="336"/>
        <v>4</v>
      </c>
    </row>
    <row r="498" spans="4:39" x14ac:dyDescent="0.25">
      <c r="D498" s="231">
        <v>340</v>
      </c>
      <c r="E498" s="231" t="s">
        <v>72</v>
      </c>
      <c r="F498" s="231" t="s">
        <v>73</v>
      </c>
      <c r="H498" s="231" t="s">
        <v>69</v>
      </c>
      <c r="I498" s="231" t="s">
        <v>76</v>
      </c>
      <c r="K498" s="231" t="s">
        <v>77</v>
      </c>
      <c r="N498" s="231" t="s">
        <v>516</v>
      </c>
      <c r="O498" s="232" t="s">
        <v>517</v>
      </c>
      <c r="P498" s="231" t="s">
        <v>70</v>
      </c>
      <c r="R498" s="231" t="s">
        <v>564</v>
      </c>
      <c r="S498" s="231" t="s">
        <v>565</v>
      </c>
      <c r="T498" s="231" t="s">
        <v>574</v>
      </c>
      <c r="U498" s="231" t="s">
        <v>572</v>
      </c>
      <c r="V498" s="231" t="s">
        <v>575</v>
      </c>
      <c r="W498" s="231" t="s">
        <v>569</v>
      </c>
      <c r="X498" s="231" t="s">
        <v>570</v>
      </c>
      <c r="Y498" s="231" t="s">
        <v>571</v>
      </c>
      <c r="AA498" s="231">
        <f t="shared" si="324"/>
        <v>0</v>
      </c>
      <c r="AB498" s="231">
        <f t="shared" si="325"/>
        <v>0</v>
      </c>
      <c r="AC498" s="231">
        <f t="shared" si="326"/>
        <v>0</v>
      </c>
      <c r="AD498" s="231">
        <f t="shared" si="327"/>
        <v>1</v>
      </c>
      <c r="AE498" s="231">
        <f t="shared" si="328"/>
        <v>1</v>
      </c>
      <c r="AF498" s="231">
        <f t="shared" si="329"/>
        <v>0</v>
      </c>
      <c r="AG498" s="231">
        <f t="shared" si="330"/>
        <v>1</v>
      </c>
      <c r="AH498" s="231">
        <f t="shared" si="331"/>
        <v>0</v>
      </c>
      <c r="AI498" s="231">
        <f t="shared" si="332"/>
        <v>0</v>
      </c>
      <c r="AJ498" s="231">
        <f t="shared" si="333"/>
        <v>1</v>
      </c>
      <c r="AK498" s="231">
        <f t="shared" si="334"/>
        <v>0</v>
      </c>
      <c r="AL498" s="231">
        <f t="shared" si="335"/>
        <v>1</v>
      </c>
      <c r="AM498" s="231">
        <f t="shared" si="336"/>
        <v>5</v>
      </c>
    </row>
    <row r="499" spans="4:39" x14ac:dyDescent="0.25">
      <c r="D499" s="231">
        <v>341</v>
      </c>
      <c r="E499" s="231" t="s">
        <v>72</v>
      </c>
      <c r="F499" s="231" t="s">
        <v>73</v>
      </c>
      <c r="H499" s="231" t="s">
        <v>69</v>
      </c>
      <c r="I499" s="231" t="s">
        <v>76</v>
      </c>
      <c r="K499" s="231" t="s">
        <v>77</v>
      </c>
      <c r="M499" s="231" t="s">
        <v>515</v>
      </c>
      <c r="O499" s="232" t="s">
        <v>517</v>
      </c>
      <c r="P499" s="231" t="s">
        <v>70</v>
      </c>
      <c r="R499" s="231" t="s">
        <v>564</v>
      </c>
      <c r="S499" s="231" t="s">
        <v>569</v>
      </c>
      <c r="T499" s="231" t="s">
        <v>574</v>
      </c>
      <c r="U499" s="231" t="s">
        <v>575</v>
      </c>
      <c r="V499" s="231" t="s">
        <v>566</v>
      </c>
      <c r="W499" s="231" t="s">
        <v>572</v>
      </c>
      <c r="X499" s="231" t="s">
        <v>570</v>
      </c>
      <c r="Y499" s="231" t="s">
        <v>571</v>
      </c>
      <c r="AA499" s="231">
        <f t="shared" si="324"/>
        <v>0</v>
      </c>
      <c r="AB499" s="231">
        <f t="shared" si="325"/>
        <v>0</v>
      </c>
      <c r="AC499" s="231">
        <f t="shared" si="326"/>
        <v>0</v>
      </c>
      <c r="AD499" s="231">
        <f t="shared" si="327"/>
        <v>1</v>
      </c>
      <c r="AE499" s="231">
        <f t="shared" si="328"/>
        <v>1</v>
      </c>
      <c r="AF499" s="231">
        <f t="shared" si="329"/>
        <v>0</v>
      </c>
      <c r="AG499" s="231">
        <f t="shared" si="330"/>
        <v>1</v>
      </c>
      <c r="AH499" s="231">
        <f t="shared" si="331"/>
        <v>0</v>
      </c>
      <c r="AI499" s="231">
        <f t="shared" si="332"/>
        <v>1</v>
      </c>
      <c r="AJ499" s="231">
        <f t="shared" si="333"/>
        <v>0</v>
      </c>
      <c r="AK499" s="231">
        <f t="shared" si="334"/>
        <v>0</v>
      </c>
      <c r="AL499" s="231">
        <f t="shared" si="335"/>
        <v>1</v>
      </c>
      <c r="AM499" s="231">
        <f t="shared" si="336"/>
        <v>5</v>
      </c>
    </row>
    <row r="500" spans="4:39" x14ac:dyDescent="0.25">
      <c r="D500" s="231">
        <v>342</v>
      </c>
      <c r="E500" s="231" t="s">
        <v>72</v>
      </c>
      <c r="F500" s="231" t="s">
        <v>73</v>
      </c>
      <c r="H500" s="231" t="s">
        <v>69</v>
      </c>
      <c r="I500" s="231" t="s">
        <v>76</v>
      </c>
      <c r="K500" s="231" t="s">
        <v>77</v>
      </c>
      <c r="M500" s="231" t="s">
        <v>515</v>
      </c>
      <c r="N500" s="231" t="s">
        <v>516</v>
      </c>
      <c r="P500" s="231" t="s">
        <v>70</v>
      </c>
      <c r="R500" s="231" t="s">
        <v>564</v>
      </c>
      <c r="S500" s="231" t="s">
        <v>565</v>
      </c>
      <c r="T500" s="231" t="s">
        <v>574</v>
      </c>
      <c r="U500" s="231" t="s">
        <v>572</v>
      </c>
      <c r="V500" s="231" t="s">
        <v>575</v>
      </c>
      <c r="W500" s="231" t="s">
        <v>569</v>
      </c>
      <c r="X500" s="231" t="s">
        <v>570</v>
      </c>
      <c r="Y500" s="231" t="s">
        <v>566</v>
      </c>
      <c r="AA500" s="231">
        <f t="shared" si="324"/>
        <v>0</v>
      </c>
      <c r="AB500" s="231">
        <f t="shared" si="325"/>
        <v>0</v>
      </c>
      <c r="AC500" s="231">
        <f t="shared" si="326"/>
        <v>0</v>
      </c>
      <c r="AD500" s="231">
        <f t="shared" si="327"/>
        <v>1</v>
      </c>
      <c r="AE500" s="231">
        <f t="shared" si="328"/>
        <v>1</v>
      </c>
      <c r="AF500" s="231">
        <f t="shared" si="329"/>
        <v>0</v>
      </c>
      <c r="AG500" s="231">
        <f t="shared" si="330"/>
        <v>1</v>
      </c>
      <c r="AH500" s="231">
        <f t="shared" si="331"/>
        <v>0</v>
      </c>
      <c r="AI500" s="231">
        <f t="shared" si="332"/>
        <v>1</v>
      </c>
      <c r="AJ500" s="231">
        <f t="shared" si="333"/>
        <v>1</v>
      </c>
      <c r="AK500" s="231">
        <f t="shared" si="334"/>
        <v>0</v>
      </c>
      <c r="AL500" s="231">
        <f t="shared" si="335"/>
        <v>1</v>
      </c>
      <c r="AM500" s="231">
        <f t="shared" si="336"/>
        <v>6</v>
      </c>
    </row>
    <row r="501" spans="4:39" x14ac:dyDescent="0.25">
      <c r="D501" s="231">
        <v>343</v>
      </c>
      <c r="E501" s="231" t="s">
        <v>72</v>
      </c>
      <c r="F501" s="231" t="s">
        <v>73</v>
      </c>
      <c r="H501" s="231" t="s">
        <v>69</v>
      </c>
      <c r="I501" s="231" t="s">
        <v>76</v>
      </c>
      <c r="K501" s="231" t="s">
        <v>77</v>
      </c>
      <c r="M501" s="231" t="s">
        <v>515</v>
      </c>
      <c r="N501" s="231" t="s">
        <v>516</v>
      </c>
      <c r="O501" s="232" t="s">
        <v>517</v>
      </c>
      <c r="R501" s="231" t="s">
        <v>564</v>
      </c>
      <c r="S501" s="231" t="s">
        <v>565</v>
      </c>
      <c r="T501" s="231" t="s">
        <v>574</v>
      </c>
      <c r="U501" s="231" t="s">
        <v>572</v>
      </c>
      <c r="V501" s="231" t="s">
        <v>575</v>
      </c>
      <c r="W501" s="231" t="s">
        <v>569</v>
      </c>
      <c r="X501" s="231" t="s">
        <v>566</v>
      </c>
      <c r="Y501" s="231" t="s">
        <v>571</v>
      </c>
      <c r="AA501" s="231">
        <f t="shared" si="324"/>
        <v>0</v>
      </c>
      <c r="AB501" s="231">
        <f t="shared" si="325"/>
        <v>0</v>
      </c>
      <c r="AC501" s="231">
        <f t="shared" si="326"/>
        <v>0</v>
      </c>
      <c r="AD501" s="231">
        <f t="shared" si="327"/>
        <v>1</v>
      </c>
      <c r="AE501" s="231">
        <f t="shared" si="328"/>
        <v>1</v>
      </c>
      <c r="AF501" s="231">
        <f t="shared" si="329"/>
        <v>0</v>
      </c>
      <c r="AG501" s="231">
        <f t="shared" si="330"/>
        <v>1</v>
      </c>
      <c r="AH501" s="231">
        <f t="shared" si="331"/>
        <v>0</v>
      </c>
      <c r="AI501" s="231">
        <f t="shared" si="332"/>
        <v>1</v>
      </c>
      <c r="AJ501" s="231">
        <f t="shared" si="333"/>
        <v>1</v>
      </c>
      <c r="AK501" s="231">
        <f t="shared" si="334"/>
        <v>0</v>
      </c>
      <c r="AL501" s="231">
        <f t="shared" si="335"/>
        <v>0</v>
      </c>
      <c r="AM501" s="231">
        <f t="shared" si="336"/>
        <v>5</v>
      </c>
    </row>
    <row r="502" spans="4:39" x14ac:dyDescent="0.25">
      <c r="D502" s="231">
        <v>344</v>
      </c>
      <c r="E502" s="231" t="s">
        <v>72</v>
      </c>
      <c r="F502" s="231" t="s">
        <v>73</v>
      </c>
      <c r="H502" s="231" t="s">
        <v>69</v>
      </c>
      <c r="I502" s="231" t="s">
        <v>76</v>
      </c>
      <c r="K502" s="231" t="s">
        <v>77</v>
      </c>
      <c r="L502" s="231" t="s">
        <v>78</v>
      </c>
      <c r="O502" s="232" t="s">
        <v>517</v>
      </c>
      <c r="P502" s="231" t="s">
        <v>70</v>
      </c>
      <c r="R502" s="231" t="s">
        <v>564</v>
      </c>
      <c r="S502" s="231" t="s">
        <v>569</v>
      </c>
      <c r="T502" s="231" t="s">
        <v>574</v>
      </c>
      <c r="U502" s="231" t="s">
        <v>572</v>
      </c>
      <c r="V502" s="231" t="s">
        <v>575</v>
      </c>
      <c r="W502" s="231" t="s">
        <v>568</v>
      </c>
      <c r="X502" s="231" t="s">
        <v>570</v>
      </c>
      <c r="Y502" s="231" t="s">
        <v>571</v>
      </c>
      <c r="AA502" s="231">
        <f t="shared" si="324"/>
        <v>0</v>
      </c>
      <c r="AB502" s="231">
        <f t="shared" si="325"/>
        <v>0</v>
      </c>
      <c r="AC502" s="231">
        <f t="shared" si="326"/>
        <v>0</v>
      </c>
      <c r="AD502" s="231">
        <f t="shared" si="327"/>
        <v>1</v>
      </c>
      <c r="AE502" s="231">
        <f t="shared" si="328"/>
        <v>1</v>
      </c>
      <c r="AF502" s="231">
        <f t="shared" si="329"/>
        <v>0</v>
      </c>
      <c r="AG502" s="231">
        <f t="shared" si="330"/>
        <v>1</v>
      </c>
      <c r="AH502" s="231">
        <f t="shared" si="331"/>
        <v>0</v>
      </c>
      <c r="AI502" s="231">
        <f t="shared" si="332"/>
        <v>0</v>
      </c>
      <c r="AJ502" s="231">
        <f t="shared" si="333"/>
        <v>0</v>
      </c>
      <c r="AK502" s="231">
        <f t="shared" si="334"/>
        <v>0</v>
      </c>
      <c r="AL502" s="231">
        <f t="shared" si="335"/>
        <v>1</v>
      </c>
      <c r="AM502" s="231">
        <f t="shared" si="336"/>
        <v>4</v>
      </c>
    </row>
    <row r="503" spans="4:39" x14ac:dyDescent="0.25">
      <c r="D503" s="231">
        <v>345</v>
      </c>
      <c r="E503" s="231" t="s">
        <v>72</v>
      </c>
      <c r="F503" s="231" t="s">
        <v>73</v>
      </c>
      <c r="H503" s="231" t="s">
        <v>69</v>
      </c>
      <c r="I503" s="231" t="s">
        <v>76</v>
      </c>
      <c r="K503" s="231" t="s">
        <v>77</v>
      </c>
      <c r="L503" s="231" t="s">
        <v>78</v>
      </c>
      <c r="N503" s="231" t="s">
        <v>516</v>
      </c>
      <c r="P503" s="231" t="s">
        <v>70</v>
      </c>
      <c r="R503" s="231" t="s">
        <v>568</v>
      </c>
      <c r="S503" s="231" t="s">
        <v>565</v>
      </c>
      <c r="T503" s="231" t="s">
        <v>574</v>
      </c>
      <c r="U503" s="231" t="s">
        <v>572</v>
      </c>
      <c r="V503" s="231" t="s">
        <v>575</v>
      </c>
      <c r="W503" s="231" t="s">
        <v>569</v>
      </c>
      <c r="X503" s="231" t="s">
        <v>570</v>
      </c>
      <c r="Y503" s="231" t="s">
        <v>564</v>
      </c>
      <c r="AA503" s="231">
        <f t="shared" si="324"/>
        <v>0</v>
      </c>
      <c r="AB503" s="231">
        <f t="shared" si="325"/>
        <v>0</v>
      </c>
      <c r="AC503" s="231">
        <f t="shared" si="326"/>
        <v>0</v>
      </c>
      <c r="AD503" s="231">
        <f t="shared" si="327"/>
        <v>1</v>
      </c>
      <c r="AE503" s="231">
        <f t="shared" si="328"/>
        <v>1</v>
      </c>
      <c r="AF503" s="231">
        <f t="shared" si="329"/>
        <v>0</v>
      </c>
      <c r="AG503" s="231">
        <f t="shared" si="330"/>
        <v>1</v>
      </c>
      <c r="AH503" s="231">
        <f t="shared" si="331"/>
        <v>0</v>
      </c>
      <c r="AI503" s="231">
        <f t="shared" si="332"/>
        <v>0</v>
      </c>
      <c r="AJ503" s="231">
        <f t="shared" si="333"/>
        <v>1</v>
      </c>
      <c r="AK503" s="231">
        <f t="shared" si="334"/>
        <v>0</v>
      </c>
      <c r="AL503" s="231">
        <f t="shared" si="335"/>
        <v>1</v>
      </c>
      <c r="AM503" s="231">
        <f t="shared" si="336"/>
        <v>5</v>
      </c>
    </row>
    <row r="504" spans="4:39" x14ac:dyDescent="0.25">
      <c r="D504" s="231">
        <v>346</v>
      </c>
      <c r="E504" s="231" t="s">
        <v>72</v>
      </c>
      <c r="F504" s="231" t="s">
        <v>73</v>
      </c>
      <c r="H504" s="231" t="s">
        <v>69</v>
      </c>
      <c r="I504" s="231" t="s">
        <v>76</v>
      </c>
      <c r="K504" s="231" t="s">
        <v>77</v>
      </c>
      <c r="L504" s="231" t="s">
        <v>78</v>
      </c>
      <c r="N504" s="231" t="s">
        <v>516</v>
      </c>
      <c r="O504" s="232" t="s">
        <v>517</v>
      </c>
      <c r="R504" s="231" t="s">
        <v>568</v>
      </c>
      <c r="S504" s="231" t="s">
        <v>565</v>
      </c>
      <c r="T504" s="231" t="s">
        <v>574</v>
      </c>
      <c r="U504" s="231" t="s">
        <v>572</v>
      </c>
      <c r="V504" s="231" t="s">
        <v>575</v>
      </c>
      <c r="W504" s="231" t="s">
        <v>569</v>
      </c>
      <c r="X504" s="231" t="s">
        <v>564</v>
      </c>
      <c r="Y504" s="231" t="s">
        <v>571</v>
      </c>
      <c r="AA504" s="231">
        <f t="shared" si="324"/>
        <v>0</v>
      </c>
      <c r="AB504" s="231">
        <f t="shared" si="325"/>
        <v>0</v>
      </c>
      <c r="AC504" s="231">
        <f t="shared" si="326"/>
        <v>0</v>
      </c>
      <c r="AD504" s="231">
        <f t="shared" si="327"/>
        <v>1</v>
      </c>
      <c r="AE504" s="231">
        <f t="shared" si="328"/>
        <v>1</v>
      </c>
      <c r="AF504" s="231">
        <f t="shared" si="329"/>
        <v>0</v>
      </c>
      <c r="AG504" s="231">
        <f t="shared" si="330"/>
        <v>1</v>
      </c>
      <c r="AH504" s="231">
        <f t="shared" si="331"/>
        <v>0</v>
      </c>
      <c r="AI504" s="231">
        <f t="shared" si="332"/>
        <v>0</v>
      </c>
      <c r="AJ504" s="231">
        <f t="shared" si="333"/>
        <v>1</v>
      </c>
      <c r="AK504" s="231">
        <f t="shared" si="334"/>
        <v>0</v>
      </c>
      <c r="AL504" s="231">
        <f t="shared" si="335"/>
        <v>0</v>
      </c>
      <c r="AM504" s="231">
        <f t="shared" si="336"/>
        <v>4</v>
      </c>
    </row>
    <row r="505" spans="4:39" x14ac:dyDescent="0.25">
      <c r="D505" s="231">
        <v>347</v>
      </c>
      <c r="E505" s="231" t="s">
        <v>72</v>
      </c>
      <c r="F505" s="231" t="s">
        <v>73</v>
      </c>
      <c r="H505" s="231" t="s">
        <v>69</v>
      </c>
      <c r="I505" s="231" t="s">
        <v>76</v>
      </c>
      <c r="K505" s="231" t="s">
        <v>77</v>
      </c>
      <c r="L505" s="231" t="s">
        <v>78</v>
      </c>
      <c r="M505" s="231" t="s">
        <v>515</v>
      </c>
      <c r="P505" s="231" t="s">
        <v>70</v>
      </c>
      <c r="R505" s="231" t="s">
        <v>564</v>
      </c>
      <c r="S505" s="231" t="s">
        <v>569</v>
      </c>
      <c r="T505" s="231" t="s">
        <v>574</v>
      </c>
      <c r="U505" s="231" t="s">
        <v>572</v>
      </c>
      <c r="V505" s="231" t="s">
        <v>575</v>
      </c>
      <c r="W505" s="231" t="s">
        <v>568</v>
      </c>
      <c r="X505" s="231" t="s">
        <v>570</v>
      </c>
      <c r="Y505" s="231" t="s">
        <v>566</v>
      </c>
      <c r="AA505" s="231">
        <f t="shared" si="324"/>
        <v>0</v>
      </c>
      <c r="AB505" s="231">
        <f t="shared" si="325"/>
        <v>0</v>
      </c>
      <c r="AC505" s="231">
        <f t="shared" si="326"/>
        <v>0</v>
      </c>
      <c r="AD505" s="231">
        <f t="shared" si="327"/>
        <v>1</v>
      </c>
      <c r="AE505" s="231">
        <f t="shared" si="328"/>
        <v>1</v>
      </c>
      <c r="AF505" s="231">
        <f t="shared" si="329"/>
        <v>0</v>
      </c>
      <c r="AG505" s="231">
        <f t="shared" si="330"/>
        <v>1</v>
      </c>
      <c r="AH505" s="231">
        <f t="shared" si="331"/>
        <v>0</v>
      </c>
      <c r="AI505" s="231">
        <f t="shared" si="332"/>
        <v>1</v>
      </c>
      <c r="AJ505" s="231">
        <f t="shared" si="333"/>
        <v>0</v>
      </c>
      <c r="AK505" s="231">
        <f t="shared" si="334"/>
        <v>0</v>
      </c>
      <c r="AL505" s="231">
        <f t="shared" si="335"/>
        <v>1</v>
      </c>
      <c r="AM505" s="231">
        <f t="shared" si="336"/>
        <v>5</v>
      </c>
    </row>
    <row r="506" spans="4:39" x14ac:dyDescent="0.25">
      <c r="D506" s="231">
        <v>348</v>
      </c>
      <c r="E506" s="231" t="s">
        <v>72</v>
      </c>
      <c r="F506" s="231" t="s">
        <v>73</v>
      </c>
      <c r="H506" s="231" t="s">
        <v>69</v>
      </c>
      <c r="I506" s="231" t="s">
        <v>76</v>
      </c>
      <c r="K506" s="231" t="s">
        <v>77</v>
      </c>
      <c r="L506" s="231" t="s">
        <v>78</v>
      </c>
      <c r="M506" s="231" t="s">
        <v>515</v>
      </c>
      <c r="O506" s="232" t="s">
        <v>517</v>
      </c>
      <c r="R506" s="231" t="s">
        <v>564</v>
      </c>
      <c r="S506" s="231" t="s">
        <v>569</v>
      </c>
      <c r="T506" s="231" t="s">
        <v>574</v>
      </c>
      <c r="U506" s="231" t="s">
        <v>572</v>
      </c>
      <c r="V506" s="231" t="s">
        <v>575</v>
      </c>
      <c r="W506" s="231" t="s">
        <v>568</v>
      </c>
      <c r="X506" s="231" t="s">
        <v>566</v>
      </c>
      <c r="Y506" s="231" t="s">
        <v>571</v>
      </c>
      <c r="AA506" s="231">
        <f t="shared" si="324"/>
        <v>0</v>
      </c>
      <c r="AB506" s="231">
        <f t="shared" si="325"/>
        <v>0</v>
      </c>
      <c r="AC506" s="231">
        <f t="shared" si="326"/>
        <v>0</v>
      </c>
      <c r="AD506" s="231">
        <f t="shared" si="327"/>
        <v>1</v>
      </c>
      <c r="AE506" s="231">
        <f t="shared" si="328"/>
        <v>1</v>
      </c>
      <c r="AF506" s="231">
        <f t="shared" si="329"/>
        <v>0</v>
      </c>
      <c r="AG506" s="231">
        <f t="shared" si="330"/>
        <v>1</v>
      </c>
      <c r="AH506" s="231">
        <f t="shared" si="331"/>
        <v>0</v>
      </c>
      <c r="AI506" s="231">
        <f t="shared" si="332"/>
        <v>1</v>
      </c>
      <c r="AJ506" s="231">
        <f t="shared" si="333"/>
        <v>0</v>
      </c>
      <c r="AK506" s="231">
        <f t="shared" si="334"/>
        <v>0</v>
      </c>
      <c r="AL506" s="231">
        <f t="shared" si="335"/>
        <v>0</v>
      </c>
      <c r="AM506" s="231">
        <f t="shared" si="336"/>
        <v>4</v>
      </c>
    </row>
    <row r="507" spans="4:39" x14ac:dyDescent="0.25">
      <c r="D507" s="231">
        <v>349</v>
      </c>
      <c r="E507" s="231" t="s">
        <v>72</v>
      </c>
      <c r="F507" s="231" t="s">
        <v>73</v>
      </c>
      <c r="H507" s="231" t="s">
        <v>69</v>
      </c>
      <c r="I507" s="231" t="s">
        <v>76</v>
      </c>
      <c r="K507" s="231" t="s">
        <v>77</v>
      </c>
      <c r="L507" s="231" t="s">
        <v>78</v>
      </c>
      <c r="M507" s="231" t="s">
        <v>515</v>
      </c>
      <c r="N507" s="231" t="s">
        <v>516</v>
      </c>
      <c r="R507" s="231" t="s">
        <v>568</v>
      </c>
      <c r="S507" s="231" t="s">
        <v>565</v>
      </c>
      <c r="T507" s="231" t="s">
        <v>574</v>
      </c>
      <c r="U507" s="231" t="s">
        <v>572</v>
      </c>
      <c r="V507" s="231" t="s">
        <v>575</v>
      </c>
      <c r="W507" s="231" t="s">
        <v>569</v>
      </c>
      <c r="X507" s="231" t="s">
        <v>564</v>
      </c>
      <c r="Y507" s="231" t="s">
        <v>566</v>
      </c>
      <c r="AA507" s="231">
        <f t="shared" si="324"/>
        <v>0</v>
      </c>
      <c r="AB507" s="231">
        <f t="shared" si="325"/>
        <v>0</v>
      </c>
      <c r="AC507" s="231">
        <f t="shared" si="326"/>
        <v>0</v>
      </c>
      <c r="AD507" s="231">
        <f t="shared" si="327"/>
        <v>1</v>
      </c>
      <c r="AE507" s="231">
        <f t="shared" si="328"/>
        <v>1</v>
      </c>
      <c r="AF507" s="231">
        <f t="shared" si="329"/>
        <v>0</v>
      </c>
      <c r="AG507" s="231">
        <f t="shared" si="330"/>
        <v>1</v>
      </c>
      <c r="AH507" s="231">
        <f t="shared" si="331"/>
        <v>0</v>
      </c>
      <c r="AI507" s="231">
        <f t="shared" si="332"/>
        <v>1</v>
      </c>
      <c r="AJ507" s="231">
        <f t="shared" si="333"/>
        <v>1</v>
      </c>
      <c r="AK507" s="231">
        <f t="shared" si="334"/>
        <v>0</v>
      </c>
      <c r="AL507" s="231">
        <f t="shared" si="335"/>
        <v>0</v>
      </c>
      <c r="AM507" s="231">
        <f t="shared" si="336"/>
        <v>5</v>
      </c>
    </row>
    <row r="508" spans="4:39" x14ac:dyDescent="0.25">
      <c r="D508" s="231">
        <v>350</v>
      </c>
      <c r="E508" s="231" t="s">
        <v>72</v>
      </c>
      <c r="F508" s="231" t="s">
        <v>73</v>
      </c>
      <c r="H508" s="231" t="s">
        <v>69</v>
      </c>
      <c r="I508" s="231" t="s">
        <v>76</v>
      </c>
      <c r="J508" s="231" t="s">
        <v>75</v>
      </c>
      <c r="N508" s="231" t="s">
        <v>516</v>
      </c>
      <c r="O508" s="232" t="s">
        <v>517</v>
      </c>
      <c r="P508" s="231" t="s">
        <v>70</v>
      </c>
      <c r="R508" s="231" t="s">
        <v>564</v>
      </c>
      <c r="S508" s="231" t="s">
        <v>565</v>
      </c>
      <c r="T508" s="231" t="s">
        <v>574</v>
      </c>
      <c r="U508" s="231" t="s">
        <v>572</v>
      </c>
      <c r="V508" s="231" t="s">
        <v>575</v>
      </c>
      <c r="W508" s="231" t="s">
        <v>567</v>
      </c>
      <c r="X508" s="231" t="s">
        <v>570</v>
      </c>
      <c r="Y508" s="231" t="s">
        <v>571</v>
      </c>
      <c r="AA508" s="231">
        <f t="shared" si="324"/>
        <v>0</v>
      </c>
      <c r="AB508" s="231">
        <f t="shared" si="325"/>
        <v>0</v>
      </c>
      <c r="AC508" s="231">
        <f t="shared" si="326"/>
        <v>0</v>
      </c>
      <c r="AD508" s="231">
        <f t="shared" si="327"/>
        <v>1</v>
      </c>
      <c r="AE508" s="231">
        <f t="shared" si="328"/>
        <v>1</v>
      </c>
      <c r="AF508" s="231">
        <f t="shared" si="329"/>
        <v>1</v>
      </c>
      <c r="AG508" s="231">
        <f t="shared" si="330"/>
        <v>0</v>
      </c>
      <c r="AH508" s="231">
        <f t="shared" si="331"/>
        <v>0</v>
      </c>
      <c r="AI508" s="231">
        <f t="shared" si="332"/>
        <v>0</v>
      </c>
      <c r="AJ508" s="231">
        <f t="shared" si="333"/>
        <v>1</v>
      </c>
      <c r="AK508" s="231">
        <f t="shared" si="334"/>
        <v>0</v>
      </c>
      <c r="AL508" s="231">
        <f t="shared" si="335"/>
        <v>1</v>
      </c>
      <c r="AM508" s="231">
        <f t="shared" si="336"/>
        <v>5</v>
      </c>
    </row>
    <row r="509" spans="4:39" x14ac:dyDescent="0.25">
      <c r="D509" s="231">
        <v>351</v>
      </c>
      <c r="E509" s="231" t="s">
        <v>72</v>
      </c>
      <c r="F509" s="231" t="s">
        <v>73</v>
      </c>
      <c r="H509" s="231" t="s">
        <v>69</v>
      </c>
      <c r="I509" s="231" t="s">
        <v>76</v>
      </c>
      <c r="J509" s="231" t="s">
        <v>75</v>
      </c>
      <c r="M509" s="231" t="s">
        <v>515</v>
      </c>
      <c r="O509" s="232" t="s">
        <v>517</v>
      </c>
      <c r="P509" s="231" t="s">
        <v>70</v>
      </c>
      <c r="R509" s="231" t="s">
        <v>564</v>
      </c>
      <c r="S509" s="231" t="s">
        <v>566</v>
      </c>
      <c r="T509" s="231" t="s">
        <v>574</v>
      </c>
      <c r="U509" s="231" t="s">
        <v>572</v>
      </c>
      <c r="V509" s="231" t="s">
        <v>575</v>
      </c>
      <c r="W509" s="231" t="s">
        <v>567</v>
      </c>
      <c r="X509" s="231" t="s">
        <v>570</v>
      </c>
      <c r="Y509" s="231" t="s">
        <v>571</v>
      </c>
      <c r="AA509" s="231">
        <f t="shared" si="324"/>
        <v>0</v>
      </c>
      <c r="AB509" s="231">
        <f t="shared" si="325"/>
        <v>0</v>
      </c>
      <c r="AC509" s="231">
        <f t="shared" si="326"/>
        <v>0</v>
      </c>
      <c r="AD509" s="231">
        <f t="shared" si="327"/>
        <v>1</v>
      </c>
      <c r="AE509" s="231">
        <f t="shared" si="328"/>
        <v>1</v>
      </c>
      <c r="AF509" s="231">
        <f t="shared" si="329"/>
        <v>1</v>
      </c>
      <c r="AG509" s="231">
        <f t="shared" si="330"/>
        <v>0</v>
      </c>
      <c r="AH509" s="231">
        <f t="shared" si="331"/>
        <v>0</v>
      </c>
      <c r="AI509" s="231">
        <f t="shared" si="332"/>
        <v>1</v>
      </c>
      <c r="AJ509" s="231">
        <f t="shared" si="333"/>
        <v>0</v>
      </c>
      <c r="AK509" s="231">
        <f t="shared" si="334"/>
        <v>0</v>
      </c>
      <c r="AL509" s="231">
        <f t="shared" si="335"/>
        <v>1</v>
      </c>
      <c r="AM509" s="231">
        <f t="shared" si="336"/>
        <v>5</v>
      </c>
    </row>
    <row r="510" spans="4:39" x14ac:dyDescent="0.25">
      <c r="D510" s="231">
        <v>352</v>
      </c>
      <c r="E510" s="231" t="s">
        <v>72</v>
      </c>
      <c r="F510" s="231" t="s">
        <v>73</v>
      </c>
      <c r="H510" s="231" t="s">
        <v>69</v>
      </c>
      <c r="I510" s="231" t="s">
        <v>76</v>
      </c>
      <c r="J510" s="231" t="s">
        <v>75</v>
      </c>
      <c r="M510" s="231" t="s">
        <v>515</v>
      </c>
      <c r="N510" s="231" t="s">
        <v>516</v>
      </c>
      <c r="P510" s="231" t="s">
        <v>70</v>
      </c>
      <c r="R510" s="231" t="s">
        <v>564</v>
      </c>
      <c r="S510" s="231" t="s">
        <v>565</v>
      </c>
      <c r="T510" s="231" t="s">
        <v>574</v>
      </c>
      <c r="U510" s="231" t="s">
        <v>572</v>
      </c>
      <c r="V510" s="231" t="s">
        <v>575</v>
      </c>
      <c r="W510" s="231" t="s">
        <v>567</v>
      </c>
      <c r="X510" s="231" t="s">
        <v>570</v>
      </c>
      <c r="Y510" s="231" t="s">
        <v>566</v>
      </c>
      <c r="AA510" s="231">
        <f t="shared" si="324"/>
        <v>0</v>
      </c>
      <c r="AB510" s="231">
        <f t="shared" si="325"/>
        <v>0</v>
      </c>
      <c r="AC510" s="231">
        <f t="shared" si="326"/>
        <v>0</v>
      </c>
      <c r="AD510" s="231">
        <f t="shared" si="327"/>
        <v>1</v>
      </c>
      <c r="AE510" s="231">
        <f t="shared" si="328"/>
        <v>1</v>
      </c>
      <c r="AF510" s="231">
        <f t="shared" si="329"/>
        <v>1</v>
      </c>
      <c r="AG510" s="231">
        <f t="shared" si="330"/>
        <v>0</v>
      </c>
      <c r="AH510" s="231">
        <f t="shared" si="331"/>
        <v>0</v>
      </c>
      <c r="AI510" s="231">
        <f t="shared" si="332"/>
        <v>1</v>
      </c>
      <c r="AJ510" s="231">
        <f t="shared" si="333"/>
        <v>1</v>
      </c>
      <c r="AK510" s="231">
        <f t="shared" si="334"/>
        <v>0</v>
      </c>
      <c r="AL510" s="231">
        <f t="shared" si="335"/>
        <v>1</v>
      </c>
      <c r="AM510" s="231">
        <f t="shared" si="336"/>
        <v>6</v>
      </c>
    </row>
    <row r="511" spans="4:39" x14ac:dyDescent="0.25">
      <c r="D511" s="231">
        <v>353</v>
      </c>
      <c r="E511" s="231" t="s">
        <v>72</v>
      </c>
      <c r="F511" s="231" t="s">
        <v>73</v>
      </c>
      <c r="H511" s="231" t="s">
        <v>69</v>
      </c>
      <c r="I511" s="231" t="s">
        <v>76</v>
      </c>
      <c r="J511" s="231" t="s">
        <v>75</v>
      </c>
      <c r="M511" s="231" t="s">
        <v>515</v>
      </c>
      <c r="N511" s="231" t="s">
        <v>516</v>
      </c>
      <c r="O511" s="232" t="s">
        <v>517</v>
      </c>
      <c r="R511" s="231" t="s">
        <v>564</v>
      </c>
      <c r="S511" s="231" t="s">
        <v>565</v>
      </c>
      <c r="T511" s="231" t="s">
        <v>574</v>
      </c>
      <c r="U511" s="231" t="s">
        <v>572</v>
      </c>
      <c r="V511" s="231" t="s">
        <v>575</v>
      </c>
      <c r="W511" s="231" t="s">
        <v>567</v>
      </c>
      <c r="X511" s="231" t="s">
        <v>566</v>
      </c>
      <c r="Y511" s="231" t="s">
        <v>571</v>
      </c>
      <c r="AA511" s="231">
        <f t="shared" si="324"/>
        <v>0</v>
      </c>
      <c r="AB511" s="231">
        <f t="shared" si="325"/>
        <v>0</v>
      </c>
      <c r="AC511" s="231">
        <f t="shared" si="326"/>
        <v>0</v>
      </c>
      <c r="AD511" s="231">
        <f t="shared" si="327"/>
        <v>1</v>
      </c>
      <c r="AE511" s="231">
        <f t="shared" si="328"/>
        <v>1</v>
      </c>
      <c r="AF511" s="231">
        <f t="shared" si="329"/>
        <v>1</v>
      </c>
      <c r="AG511" s="231">
        <f t="shared" si="330"/>
        <v>0</v>
      </c>
      <c r="AH511" s="231">
        <f t="shared" si="331"/>
        <v>0</v>
      </c>
      <c r="AI511" s="231">
        <f t="shared" si="332"/>
        <v>1</v>
      </c>
      <c r="AJ511" s="231">
        <f t="shared" si="333"/>
        <v>1</v>
      </c>
      <c r="AK511" s="231">
        <f t="shared" si="334"/>
        <v>0</v>
      </c>
      <c r="AL511" s="231">
        <f t="shared" si="335"/>
        <v>0</v>
      </c>
      <c r="AM511" s="231">
        <f t="shared" si="336"/>
        <v>5</v>
      </c>
    </row>
    <row r="512" spans="4:39" x14ac:dyDescent="0.25">
      <c r="D512" s="231">
        <v>354</v>
      </c>
      <c r="E512" s="231" t="s">
        <v>72</v>
      </c>
      <c r="F512" s="231" t="s">
        <v>73</v>
      </c>
      <c r="H512" s="231" t="s">
        <v>69</v>
      </c>
      <c r="I512" s="231" t="s">
        <v>76</v>
      </c>
      <c r="J512" s="231" t="s">
        <v>75</v>
      </c>
      <c r="L512" s="231" t="s">
        <v>78</v>
      </c>
      <c r="O512" s="232" t="s">
        <v>517</v>
      </c>
      <c r="P512" s="231" t="s">
        <v>70</v>
      </c>
      <c r="R512" s="231" t="s">
        <v>568</v>
      </c>
      <c r="S512" s="231" t="s">
        <v>564</v>
      </c>
      <c r="T512" s="231" t="s">
        <v>574</v>
      </c>
      <c r="U512" s="231" t="s">
        <v>572</v>
      </c>
      <c r="V512" s="231" t="s">
        <v>575</v>
      </c>
      <c r="W512" s="231" t="s">
        <v>567</v>
      </c>
      <c r="X512" s="231" t="s">
        <v>570</v>
      </c>
      <c r="Y512" s="231" t="s">
        <v>571</v>
      </c>
      <c r="AA512" s="231">
        <f t="shared" si="324"/>
        <v>0</v>
      </c>
      <c r="AB512" s="231">
        <f t="shared" si="325"/>
        <v>0</v>
      </c>
      <c r="AC512" s="231">
        <f t="shared" si="326"/>
        <v>0</v>
      </c>
      <c r="AD512" s="231">
        <f t="shared" si="327"/>
        <v>1</v>
      </c>
      <c r="AE512" s="231">
        <f t="shared" si="328"/>
        <v>1</v>
      </c>
      <c r="AF512" s="231">
        <f t="shared" si="329"/>
        <v>1</v>
      </c>
      <c r="AG512" s="231">
        <f t="shared" si="330"/>
        <v>0</v>
      </c>
      <c r="AH512" s="231">
        <f t="shared" si="331"/>
        <v>0</v>
      </c>
      <c r="AI512" s="231">
        <f t="shared" si="332"/>
        <v>0</v>
      </c>
      <c r="AJ512" s="231">
        <f t="shared" si="333"/>
        <v>0</v>
      </c>
      <c r="AK512" s="231">
        <f t="shared" si="334"/>
        <v>0</v>
      </c>
      <c r="AL512" s="231">
        <f t="shared" si="335"/>
        <v>1</v>
      </c>
      <c r="AM512" s="231">
        <f t="shared" si="336"/>
        <v>4</v>
      </c>
    </row>
    <row r="513" spans="4:39" x14ac:dyDescent="0.25">
      <c r="D513" s="231">
        <v>355</v>
      </c>
      <c r="E513" s="231" t="s">
        <v>72</v>
      </c>
      <c r="F513" s="231" t="s">
        <v>73</v>
      </c>
      <c r="H513" s="231" t="s">
        <v>69</v>
      </c>
      <c r="I513" s="231" t="s">
        <v>76</v>
      </c>
      <c r="J513" s="231" t="s">
        <v>75</v>
      </c>
      <c r="L513" s="231" t="s">
        <v>78</v>
      </c>
      <c r="N513" s="231" t="s">
        <v>516</v>
      </c>
      <c r="P513" s="231" t="s">
        <v>70</v>
      </c>
      <c r="R513" s="231" t="s">
        <v>568</v>
      </c>
      <c r="S513" s="231" t="s">
        <v>565</v>
      </c>
      <c r="T513" s="231" t="s">
        <v>574</v>
      </c>
      <c r="U513" s="231" t="s">
        <v>572</v>
      </c>
      <c r="V513" s="231" t="s">
        <v>575</v>
      </c>
      <c r="W513" s="231" t="s">
        <v>567</v>
      </c>
      <c r="X513" s="231" t="s">
        <v>570</v>
      </c>
      <c r="Y513" s="231" t="s">
        <v>564</v>
      </c>
      <c r="AA513" s="231">
        <f t="shared" si="324"/>
        <v>0</v>
      </c>
      <c r="AB513" s="231">
        <f t="shared" si="325"/>
        <v>0</v>
      </c>
      <c r="AC513" s="231">
        <f t="shared" si="326"/>
        <v>0</v>
      </c>
      <c r="AD513" s="231">
        <f t="shared" si="327"/>
        <v>1</v>
      </c>
      <c r="AE513" s="231">
        <f t="shared" si="328"/>
        <v>1</v>
      </c>
      <c r="AF513" s="231">
        <f t="shared" si="329"/>
        <v>1</v>
      </c>
      <c r="AG513" s="231">
        <f t="shared" si="330"/>
        <v>0</v>
      </c>
      <c r="AH513" s="231">
        <f t="shared" si="331"/>
        <v>0</v>
      </c>
      <c r="AI513" s="231">
        <f t="shared" si="332"/>
        <v>0</v>
      </c>
      <c r="AJ513" s="231">
        <f t="shared" si="333"/>
        <v>1</v>
      </c>
      <c r="AK513" s="231">
        <f t="shared" si="334"/>
        <v>0</v>
      </c>
      <c r="AL513" s="231">
        <f t="shared" si="335"/>
        <v>1</v>
      </c>
      <c r="AM513" s="231">
        <f t="shared" si="336"/>
        <v>5</v>
      </c>
    </row>
    <row r="514" spans="4:39" x14ac:dyDescent="0.25">
      <c r="D514" s="231">
        <v>356</v>
      </c>
      <c r="E514" s="231" t="s">
        <v>72</v>
      </c>
      <c r="F514" s="231" t="s">
        <v>73</v>
      </c>
      <c r="H514" s="231" t="s">
        <v>69</v>
      </c>
      <c r="I514" s="231" t="s">
        <v>76</v>
      </c>
      <c r="J514" s="231" t="s">
        <v>75</v>
      </c>
      <c r="L514" s="231" t="s">
        <v>78</v>
      </c>
      <c r="N514" s="231" t="s">
        <v>516</v>
      </c>
      <c r="O514" s="232" t="s">
        <v>517</v>
      </c>
      <c r="R514" s="231" t="s">
        <v>568</v>
      </c>
      <c r="S514" s="231" t="s">
        <v>565</v>
      </c>
      <c r="T514" s="231" t="s">
        <v>574</v>
      </c>
      <c r="U514" s="231" t="s">
        <v>572</v>
      </c>
      <c r="V514" s="231" t="s">
        <v>575</v>
      </c>
      <c r="W514" s="231" t="s">
        <v>567</v>
      </c>
      <c r="X514" s="231" t="s">
        <v>564</v>
      </c>
      <c r="Y514" s="231" t="s">
        <v>571</v>
      </c>
      <c r="AA514" s="231">
        <f t="shared" si="324"/>
        <v>0</v>
      </c>
      <c r="AB514" s="231">
        <f t="shared" si="325"/>
        <v>0</v>
      </c>
      <c r="AC514" s="231">
        <f t="shared" si="326"/>
        <v>0</v>
      </c>
      <c r="AD514" s="231">
        <f t="shared" si="327"/>
        <v>1</v>
      </c>
      <c r="AE514" s="231">
        <f t="shared" si="328"/>
        <v>1</v>
      </c>
      <c r="AF514" s="231">
        <f t="shared" si="329"/>
        <v>1</v>
      </c>
      <c r="AG514" s="231">
        <f t="shared" si="330"/>
        <v>0</v>
      </c>
      <c r="AH514" s="231">
        <f t="shared" si="331"/>
        <v>0</v>
      </c>
      <c r="AI514" s="231">
        <f t="shared" si="332"/>
        <v>0</v>
      </c>
      <c r="AJ514" s="231">
        <f t="shared" si="333"/>
        <v>1</v>
      </c>
      <c r="AK514" s="231">
        <f t="shared" si="334"/>
        <v>0</v>
      </c>
      <c r="AL514" s="231">
        <f t="shared" si="335"/>
        <v>0</v>
      </c>
      <c r="AM514" s="231">
        <f t="shared" si="336"/>
        <v>4</v>
      </c>
    </row>
    <row r="515" spans="4:39" x14ac:dyDescent="0.25">
      <c r="D515" s="231">
        <v>357</v>
      </c>
      <c r="E515" s="231" t="s">
        <v>72</v>
      </c>
      <c r="F515" s="231" t="s">
        <v>73</v>
      </c>
      <c r="H515" s="231" t="s">
        <v>69</v>
      </c>
      <c r="I515" s="231" t="s">
        <v>76</v>
      </c>
      <c r="J515" s="231" t="s">
        <v>75</v>
      </c>
      <c r="L515" s="231" t="s">
        <v>78</v>
      </c>
      <c r="M515" s="231" t="s">
        <v>515</v>
      </c>
      <c r="P515" s="231" t="s">
        <v>70</v>
      </c>
      <c r="R515" s="231" t="s">
        <v>568</v>
      </c>
      <c r="S515" s="231" t="s">
        <v>564</v>
      </c>
      <c r="T515" s="231" t="s">
        <v>574</v>
      </c>
      <c r="U515" s="231" t="s">
        <v>572</v>
      </c>
      <c r="V515" s="231" t="s">
        <v>575</v>
      </c>
      <c r="W515" s="231" t="s">
        <v>567</v>
      </c>
      <c r="X515" s="231" t="s">
        <v>570</v>
      </c>
      <c r="Y515" s="231" t="s">
        <v>566</v>
      </c>
      <c r="AA515" s="231">
        <f t="shared" si="324"/>
        <v>0</v>
      </c>
      <c r="AB515" s="231">
        <f t="shared" si="325"/>
        <v>0</v>
      </c>
      <c r="AC515" s="231">
        <f t="shared" si="326"/>
        <v>0</v>
      </c>
      <c r="AD515" s="231">
        <f t="shared" si="327"/>
        <v>1</v>
      </c>
      <c r="AE515" s="231">
        <f t="shared" si="328"/>
        <v>1</v>
      </c>
      <c r="AF515" s="231">
        <f t="shared" si="329"/>
        <v>1</v>
      </c>
      <c r="AG515" s="231">
        <f t="shared" si="330"/>
        <v>0</v>
      </c>
      <c r="AH515" s="231">
        <f t="shared" si="331"/>
        <v>0</v>
      </c>
      <c r="AI515" s="231">
        <f t="shared" si="332"/>
        <v>1</v>
      </c>
      <c r="AJ515" s="231">
        <f t="shared" si="333"/>
        <v>0</v>
      </c>
      <c r="AK515" s="231">
        <f t="shared" si="334"/>
        <v>0</v>
      </c>
      <c r="AL515" s="231">
        <f t="shared" si="335"/>
        <v>1</v>
      </c>
      <c r="AM515" s="231">
        <f t="shared" si="336"/>
        <v>5</v>
      </c>
    </row>
    <row r="516" spans="4:39" x14ac:dyDescent="0.25">
      <c r="D516" s="231">
        <v>358</v>
      </c>
      <c r="E516" s="231" t="s">
        <v>72</v>
      </c>
      <c r="F516" s="231" t="s">
        <v>73</v>
      </c>
      <c r="H516" s="231" t="s">
        <v>69</v>
      </c>
      <c r="I516" s="231" t="s">
        <v>76</v>
      </c>
      <c r="J516" s="231" t="s">
        <v>75</v>
      </c>
      <c r="L516" s="231" t="s">
        <v>78</v>
      </c>
      <c r="M516" s="231" t="s">
        <v>515</v>
      </c>
      <c r="O516" s="232" t="s">
        <v>517</v>
      </c>
      <c r="R516" s="231" t="s">
        <v>568</v>
      </c>
      <c r="S516" s="231" t="s">
        <v>564</v>
      </c>
      <c r="T516" s="231" t="s">
        <v>574</v>
      </c>
      <c r="U516" s="231" t="s">
        <v>572</v>
      </c>
      <c r="V516" s="231" t="s">
        <v>575</v>
      </c>
      <c r="W516" s="231" t="s">
        <v>567</v>
      </c>
      <c r="X516" s="231" t="s">
        <v>566</v>
      </c>
      <c r="Y516" s="231" t="s">
        <v>571</v>
      </c>
      <c r="AA516" s="231">
        <f t="shared" si="324"/>
        <v>0</v>
      </c>
      <c r="AB516" s="231">
        <f t="shared" si="325"/>
        <v>0</v>
      </c>
      <c r="AC516" s="231">
        <f t="shared" si="326"/>
        <v>0</v>
      </c>
      <c r="AD516" s="231">
        <f t="shared" si="327"/>
        <v>1</v>
      </c>
      <c r="AE516" s="231">
        <f t="shared" si="328"/>
        <v>1</v>
      </c>
      <c r="AF516" s="231">
        <f t="shared" si="329"/>
        <v>1</v>
      </c>
      <c r="AG516" s="231">
        <f t="shared" si="330"/>
        <v>0</v>
      </c>
      <c r="AH516" s="231">
        <f t="shared" si="331"/>
        <v>0</v>
      </c>
      <c r="AI516" s="231">
        <f t="shared" si="332"/>
        <v>1</v>
      </c>
      <c r="AJ516" s="231">
        <f t="shared" si="333"/>
        <v>0</v>
      </c>
      <c r="AK516" s="231">
        <f t="shared" si="334"/>
        <v>0</v>
      </c>
      <c r="AL516" s="231">
        <f t="shared" si="335"/>
        <v>0</v>
      </c>
      <c r="AM516" s="231">
        <f t="shared" si="336"/>
        <v>4</v>
      </c>
    </row>
    <row r="517" spans="4:39" x14ac:dyDescent="0.25">
      <c r="D517" s="231">
        <v>359</v>
      </c>
      <c r="E517" s="231" t="s">
        <v>72</v>
      </c>
      <c r="F517" s="231" t="s">
        <v>73</v>
      </c>
      <c r="H517" s="231" t="s">
        <v>69</v>
      </c>
      <c r="I517" s="231" t="s">
        <v>76</v>
      </c>
      <c r="J517" s="231" t="s">
        <v>75</v>
      </c>
      <c r="L517" s="231" t="s">
        <v>78</v>
      </c>
      <c r="M517" s="231" t="s">
        <v>515</v>
      </c>
      <c r="N517" s="231" t="s">
        <v>516</v>
      </c>
      <c r="R517" s="231" t="s">
        <v>568</v>
      </c>
      <c r="S517" s="231" t="s">
        <v>565</v>
      </c>
      <c r="T517" s="231" t="s">
        <v>574</v>
      </c>
      <c r="U517" s="231" t="s">
        <v>572</v>
      </c>
      <c r="V517" s="231" t="s">
        <v>575</v>
      </c>
      <c r="W517" s="231" t="s">
        <v>567</v>
      </c>
      <c r="X517" s="231" t="s">
        <v>564</v>
      </c>
      <c r="Y517" s="231" t="s">
        <v>566</v>
      </c>
      <c r="AA517" s="231">
        <f t="shared" si="324"/>
        <v>0</v>
      </c>
      <c r="AB517" s="231">
        <f t="shared" si="325"/>
        <v>0</v>
      </c>
      <c r="AC517" s="231">
        <f t="shared" si="326"/>
        <v>0</v>
      </c>
      <c r="AD517" s="231">
        <f t="shared" si="327"/>
        <v>1</v>
      </c>
      <c r="AE517" s="231">
        <f t="shared" si="328"/>
        <v>1</v>
      </c>
      <c r="AF517" s="231">
        <f t="shared" si="329"/>
        <v>1</v>
      </c>
      <c r="AG517" s="231">
        <f t="shared" si="330"/>
        <v>0</v>
      </c>
      <c r="AH517" s="231">
        <f t="shared" si="331"/>
        <v>0</v>
      </c>
      <c r="AI517" s="231">
        <f t="shared" si="332"/>
        <v>1</v>
      </c>
      <c r="AJ517" s="231">
        <f t="shared" si="333"/>
        <v>1</v>
      </c>
      <c r="AK517" s="231">
        <f t="shared" si="334"/>
        <v>0</v>
      </c>
      <c r="AL517" s="231">
        <f t="shared" si="335"/>
        <v>0</v>
      </c>
      <c r="AM517" s="231">
        <f t="shared" si="336"/>
        <v>5</v>
      </c>
    </row>
    <row r="518" spans="4:39" x14ac:dyDescent="0.25">
      <c r="D518" s="231">
        <v>360</v>
      </c>
      <c r="E518" s="231" t="s">
        <v>72</v>
      </c>
      <c r="F518" s="231" t="s">
        <v>73</v>
      </c>
      <c r="H518" s="231" t="s">
        <v>69</v>
      </c>
      <c r="I518" s="231" t="s">
        <v>76</v>
      </c>
      <c r="J518" s="231" t="s">
        <v>75</v>
      </c>
      <c r="K518" s="231" t="s">
        <v>77</v>
      </c>
      <c r="O518" s="232" t="s">
        <v>517</v>
      </c>
      <c r="P518" s="231" t="s">
        <v>70</v>
      </c>
      <c r="R518" s="231" t="s">
        <v>564</v>
      </c>
      <c r="S518" s="231" t="s">
        <v>569</v>
      </c>
      <c r="T518" s="231" t="s">
        <v>574</v>
      </c>
      <c r="U518" s="231" t="s">
        <v>572</v>
      </c>
      <c r="V518" s="231" t="s">
        <v>575</v>
      </c>
      <c r="W518" s="231" t="s">
        <v>567</v>
      </c>
      <c r="X518" s="231" t="s">
        <v>570</v>
      </c>
      <c r="Y518" s="231" t="s">
        <v>571</v>
      </c>
      <c r="AA518" s="231">
        <f t="shared" si="324"/>
        <v>0</v>
      </c>
      <c r="AB518" s="231">
        <f t="shared" si="325"/>
        <v>0</v>
      </c>
      <c r="AC518" s="231">
        <f t="shared" si="326"/>
        <v>0</v>
      </c>
      <c r="AD518" s="231">
        <f t="shared" si="327"/>
        <v>1</v>
      </c>
      <c r="AE518" s="231">
        <f t="shared" si="328"/>
        <v>1</v>
      </c>
      <c r="AF518" s="231">
        <f t="shared" si="329"/>
        <v>1</v>
      </c>
      <c r="AG518" s="231">
        <f t="shared" si="330"/>
        <v>1</v>
      </c>
      <c r="AH518" s="231">
        <f t="shared" si="331"/>
        <v>0</v>
      </c>
      <c r="AI518" s="231">
        <f t="shared" si="332"/>
        <v>0</v>
      </c>
      <c r="AJ518" s="231">
        <f t="shared" si="333"/>
        <v>0</v>
      </c>
      <c r="AK518" s="231">
        <f t="shared" si="334"/>
        <v>0</v>
      </c>
      <c r="AL518" s="231">
        <f t="shared" si="335"/>
        <v>1</v>
      </c>
      <c r="AM518" s="231">
        <f t="shared" si="336"/>
        <v>5</v>
      </c>
    </row>
    <row r="519" spans="4:39" x14ac:dyDescent="0.25">
      <c r="D519" s="231">
        <v>361</v>
      </c>
      <c r="E519" s="231" t="s">
        <v>72</v>
      </c>
      <c r="F519" s="231" t="s">
        <v>73</v>
      </c>
      <c r="H519" s="231" t="s">
        <v>69</v>
      </c>
      <c r="I519" s="231" t="s">
        <v>76</v>
      </c>
      <c r="J519" s="231" t="s">
        <v>75</v>
      </c>
      <c r="K519" s="231" t="s">
        <v>77</v>
      </c>
      <c r="N519" s="231" t="s">
        <v>516</v>
      </c>
      <c r="P519" s="231" t="s">
        <v>70</v>
      </c>
      <c r="R519" s="231" t="s">
        <v>564</v>
      </c>
      <c r="S519" s="231" t="s">
        <v>569</v>
      </c>
      <c r="T519" s="231" t="s">
        <v>574</v>
      </c>
      <c r="U519" s="231" t="s">
        <v>572</v>
      </c>
      <c r="V519" s="231" t="s">
        <v>575</v>
      </c>
      <c r="W519" s="231" t="s">
        <v>567</v>
      </c>
      <c r="X519" s="231" t="s">
        <v>570</v>
      </c>
      <c r="Y519" s="231" t="s">
        <v>565</v>
      </c>
      <c r="AA519" s="231">
        <f t="shared" si="324"/>
        <v>0</v>
      </c>
      <c r="AB519" s="231">
        <f t="shared" si="325"/>
        <v>0</v>
      </c>
      <c r="AC519" s="231">
        <f t="shared" si="326"/>
        <v>0</v>
      </c>
      <c r="AD519" s="231">
        <f t="shared" si="327"/>
        <v>1</v>
      </c>
      <c r="AE519" s="231">
        <f t="shared" si="328"/>
        <v>1</v>
      </c>
      <c r="AF519" s="231">
        <f t="shared" si="329"/>
        <v>1</v>
      </c>
      <c r="AG519" s="231">
        <f t="shared" si="330"/>
        <v>1</v>
      </c>
      <c r="AH519" s="231">
        <f t="shared" si="331"/>
        <v>0</v>
      </c>
      <c r="AI519" s="231">
        <f t="shared" si="332"/>
        <v>0</v>
      </c>
      <c r="AJ519" s="231">
        <f t="shared" si="333"/>
        <v>1</v>
      </c>
      <c r="AK519" s="231">
        <f t="shared" si="334"/>
        <v>0</v>
      </c>
      <c r="AL519" s="231">
        <f t="shared" si="335"/>
        <v>1</v>
      </c>
      <c r="AM519" s="231">
        <f t="shared" si="336"/>
        <v>6</v>
      </c>
    </row>
    <row r="520" spans="4:39" x14ac:dyDescent="0.25">
      <c r="D520" s="231">
        <v>362</v>
      </c>
      <c r="E520" s="231" t="s">
        <v>72</v>
      </c>
      <c r="F520" s="231" t="s">
        <v>73</v>
      </c>
      <c r="H520" s="231" t="s">
        <v>69</v>
      </c>
      <c r="I520" s="231" t="s">
        <v>76</v>
      </c>
      <c r="J520" s="231" t="s">
        <v>75</v>
      </c>
      <c r="K520" s="231" t="s">
        <v>77</v>
      </c>
      <c r="N520" s="231" t="s">
        <v>516</v>
      </c>
      <c r="O520" s="232" t="s">
        <v>517</v>
      </c>
      <c r="R520" s="231" t="s">
        <v>564</v>
      </c>
      <c r="S520" s="231" t="s">
        <v>569</v>
      </c>
      <c r="T520" s="231" t="s">
        <v>574</v>
      </c>
      <c r="U520" s="231" t="s">
        <v>572</v>
      </c>
      <c r="V520" s="231" t="s">
        <v>575</v>
      </c>
      <c r="W520" s="231" t="s">
        <v>567</v>
      </c>
      <c r="X520" s="231" t="s">
        <v>565</v>
      </c>
      <c r="Y520" s="231" t="s">
        <v>571</v>
      </c>
      <c r="AA520" s="231">
        <f t="shared" si="324"/>
        <v>0</v>
      </c>
      <c r="AB520" s="231">
        <f t="shared" si="325"/>
        <v>0</v>
      </c>
      <c r="AC520" s="231">
        <f t="shared" si="326"/>
        <v>0</v>
      </c>
      <c r="AD520" s="231">
        <f t="shared" si="327"/>
        <v>1</v>
      </c>
      <c r="AE520" s="231">
        <f t="shared" si="328"/>
        <v>1</v>
      </c>
      <c r="AF520" s="231">
        <f t="shared" si="329"/>
        <v>1</v>
      </c>
      <c r="AG520" s="231">
        <f t="shared" si="330"/>
        <v>1</v>
      </c>
      <c r="AH520" s="231">
        <f t="shared" si="331"/>
        <v>0</v>
      </c>
      <c r="AI520" s="231">
        <f t="shared" si="332"/>
        <v>0</v>
      </c>
      <c r="AJ520" s="231">
        <f t="shared" si="333"/>
        <v>1</v>
      </c>
      <c r="AK520" s="231">
        <f t="shared" si="334"/>
        <v>0</v>
      </c>
      <c r="AL520" s="231">
        <f t="shared" si="335"/>
        <v>0</v>
      </c>
      <c r="AM520" s="231">
        <f t="shared" si="336"/>
        <v>5</v>
      </c>
    </row>
    <row r="521" spans="4:39" x14ac:dyDescent="0.25">
      <c r="D521" s="231">
        <v>363</v>
      </c>
      <c r="E521" s="231" t="s">
        <v>72</v>
      </c>
      <c r="F521" s="231" t="s">
        <v>73</v>
      </c>
      <c r="H521" s="231" t="s">
        <v>69</v>
      </c>
      <c r="I521" s="231" t="s">
        <v>76</v>
      </c>
      <c r="J521" s="231" t="s">
        <v>75</v>
      </c>
      <c r="K521" s="231" t="s">
        <v>77</v>
      </c>
      <c r="M521" s="231" t="s">
        <v>515</v>
      </c>
      <c r="P521" s="231" t="s">
        <v>70</v>
      </c>
      <c r="R521" s="231" t="s">
        <v>564</v>
      </c>
      <c r="S521" s="231" t="s">
        <v>569</v>
      </c>
      <c r="T521" s="231" t="s">
        <v>574</v>
      </c>
      <c r="U521" s="231" t="s">
        <v>572</v>
      </c>
      <c r="V521" s="231" t="s">
        <v>575</v>
      </c>
      <c r="W521" s="231" t="s">
        <v>567</v>
      </c>
      <c r="X521" s="231" t="s">
        <v>570</v>
      </c>
      <c r="Y521" s="231" t="s">
        <v>566</v>
      </c>
      <c r="AA521" s="231">
        <f t="shared" si="324"/>
        <v>0</v>
      </c>
      <c r="AB521" s="231">
        <f t="shared" si="325"/>
        <v>0</v>
      </c>
      <c r="AC521" s="231">
        <f t="shared" si="326"/>
        <v>0</v>
      </c>
      <c r="AD521" s="231">
        <f t="shared" si="327"/>
        <v>1</v>
      </c>
      <c r="AE521" s="231">
        <f t="shared" si="328"/>
        <v>1</v>
      </c>
      <c r="AF521" s="231">
        <f t="shared" si="329"/>
        <v>1</v>
      </c>
      <c r="AG521" s="231">
        <f t="shared" si="330"/>
        <v>1</v>
      </c>
      <c r="AH521" s="231">
        <f t="shared" si="331"/>
        <v>0</v>
      </c>
      <c r="AI521" s="231">
        <f t="shared" si="332"/>
        <v>1</v>
      </c>
      <c r="AJ521" s="231">
        <f t="shared" si="333"/>
        <v>0</v>
      </c>
      <c r="AK521" s="231">
        <f t="shared" si="334"/>
        <v>0</v>
      </c>
      <c r="AL521" s="231">
        <f t="shared" si="335"/>
        <v>1</v>
      </c>
      <c r="AM521" s="231">
        <f t="shared" si="336"/>
        <v>6</v>
      </c>
    </row>
    <row r="522" spans="4:39" x14ac:dyDescent="0.25">
      <c r="D522" s="231">
        <v>364</v>
      </c>
      <c r="E522" s="231" t="s">
        <v>72</v>
      </c>
      <c r="F522" s="231" t="s">
        <v>73</v>
      </c>
      <c r="H522" s="231" t="s">
        <v>69</v>
      </c>
      <c r="I522" s="231" t="s">
        <v>76</v>
      </c>
      <c r="J522" s="231" t="s">
        <v>75</v>
      </c>
      <c r="K522" s="231" t="s">
        <v>77</v>
      </c>
      <c r="M522" s="231" t="s">
        <v>515</v>
      </c>
      <c r="O522" s="232" t="s">
        <v>517</v>
      </c>
      <c r="R522" s="231" t="s">
        <v>564</v>
      </c>
      <c r="S522" s="231" t="s">
        <v>569</v>
      </c>
      <c r="T522" s="231" t="s">
        <v>574</v>
      </c>
      <c r="U522" s="231" t="s">
        <v>572</v>
      </c>
      <c r="V522" s="231" t="s">
        <v>575</v>
      </c>
      <c r="W522" s="231" t="s">
        <v>567</v>
      </c>
      <c r="X522" s="231" t="s">
        <v>566</v>
      </c>
      <c r="Y522" s="231" t="s">
        <v>571</v>
      </c>
      <c r="AA522" s="231">
        <f t="shared" si="324"/>
        <v>0</v>
      </c>
      <c r="AB522" s="231">
        <f t="shared" si="325"/>
        <v>0</v>
      </c>
      <c r="AC522" s="231">
        <f t="shared" si="326"/>
        <v>0</v>
      </c>
      <c r="AD522" s="231">
        <f t="shared" si="327"/>
        <v>1</v>
      </c>
      <c r="AE522" s="231">
        <f t="shared" si="328"/>
        <v>1</v>
      </c>
      <c r="AF522" s="231">
        <f t="shared" si="329"/>
        <v>1</v>
      </c>
      <c r="AG522" s="231">
        <f t="shared" si="330"/>
        <v>1</v>
      </c>
      <c r="AH522" s="231">
        <f t="shared" si="331"/>
        <v>0</v>
      </c>
      <c r="AI522" s="231">
        <f t="shared" si="332"/>
        <v>1</v>
      </c>
      <c r="AJ522" s="231">
        <f t="shared" si="333"/>
        <v>0</v>
      </c>
      <c r="AK522" s="231">
        <f t="shared" si="334"/>
        <v>0</v>
      </c>
      <c r="AL522" s="231">
        <f t="shared" si="335"/>
        <v>0</v>
      </c>
      <c r="AM522" s="231">
        <f t="shared" si="336"/>
        <v>5</v>
      </c>
    </row>
    <row r="523" spans="4:39" x14ac:dyDescent="0.25">
      <c r="D523" s="231">
        <v>365</v>
      </c>
      <c r="E523" s="231" t="s">
        <v>72</v>
      </c>
      <c r="F523" s="231" t="s">
        <v>73</v>
      </c>
      <c r="H523" s="231" t="s">
        <v>69</v>
      </c>
      <c r="I523" s="231" t="s">
        <v>76</v>
      </c>
      <c r="J523" s="231" t="s">
        <v>75</v>
      </c>
      <c r="K523" s="231" t="s">
        <v>77</v>
      </c>
      <c r="M523" s="231" t="s">
        <v>515</v>
      </c>
      <c r="N523" s="231" t="s">
        <v>516</v>
      </c>
      <c r="R523" s="231" t="s">
        <v>564</v>
      </c>
      <c r="S523" s="231" t="s">
        <v>569</v>
      </c>
      <c r="T523" s="231" t="s">
        <v>574</v>
      </c>
      <c r="U523" s="231" t="s">
        <v>572</v>
      </c>
      <c r="V523" s="231" t="s">
        <v>575</v>
      </c>
      <c r="W523" s="231" t="s">
        <v>567</v>
      </c>
      <c r="X523" s="231" t="s">
        <v>566</v>
      </c>
      <c r="Y523" s="231" t="s">
        <v>565</v>
      </c>
      <c r="AA523" s="231">
        <f t="shared" si="324"/>
        <v>0</v>
      </c>
      <c r="AB523" s="231">
        <f t="shared" si="325"/>
        <v>0</v>
      </c>
      <c r="AC523" s="231">
        <f t="shared" si="326"/>
        <v>0</v>
      </c>
      <c r="AD523" s="231">
        <f t="shared" si="327"/>
        <v>1</v>
      </c>
      <c r="AE523" s="231">
        <f t="shared" si="328"/>
        <v>1</v>
      </c>
      <c r="AF523" s="231">
        <f t="shared" si="329"/>
        <v>1</v>
      </c>
      <c r="AG523" s="231">
        <f t="shared" si="330"/>
        <v>1</v>
      </c>
      <c r="AH523" s="231">
        <f t="shared" si="331"/>
        <v>0</v>
      </c>
      <c r="AI523" s="231">
        <f t="shared" si="332"/>
        <v>1</v>
      </c>
      <c r="AJ523" s="231">
        <f t="shared" si="333"/>
        <v>1</v>
      </c>
      <c r="AK523" s="231">
        <f t="shared" si="334"/>
        <v>0</v>
      </c>
      <c r="AL523" s="231">
        <f t="shared" si="335"/>
        <v>0</v>
      </c>
      <c r="AM523" s="231">
        <f t="shared" si="336"/>
        <v>6</v>
      </c>
    </row>
    <row r="524" spans="4:39" x14ac:dyDescent="0.25">
      <c r="D524" s="231">
        <v>366</v>
      </c>
      <c r="E524" s="231" t="s">
        <v>72</v>
      </c>
      <c r="F524" s="231" t="s">
        <v>73</v>
      </c>
      <c r="H524" s="231" t="s">
        <v>69</v>
      </c>
      <c r="I524" s="231" t="s">
        <v>76</v>
      </c>
      <c r="J524" s="231" t="s">
        <v>75</v>
      </c>
      <c r="K524" s="231" t="s">
        <v>77</v>
      </c>
      <c r="L524" s="231" t="s">
        <v>78</v>
      </c>
      <c r="P524" s="231" t="s">
        <v>70</v>
      </c>
      <c r="R524" s="231" t="s">
        <v>568</v>
      </c>
      <c r="S524" s="231" t="s">
        <v>569</v>
      </c>
      <c r="T524" s="231" t="s">
        <v>574</v>
      </c>
      <c r="U524" s="231" t="s">
        <v>572</v>
      </c>
      <c r="V524" s="231" t="s">
        <v>575</v>
      </c>
      <c r="W524" s="231" t="s">
        <v>567</v>
      </c>
      <c r="X524" s="231" t="s">
        <v>570</v>
      </c>
      <c r="Y524" s="231" t="s">
        <v>564</v>
      </c>
      <c r="AA524" s="231">
        <f t="shared" si="324"/>
        <v>0</v>
      </c>
      <c r="AB524" s="231">
        <f t="shared" si="325"/>
        <v>0</v>
      </c>
      <c r="AC524" s="231">
        <f t="shared" si="326"/>
        <v>0</v>
      </c>
      <c r="AD524" s="231">
        <f t="shared" si="327"/>
        <v>1</v>
      </c>
      <c r="AE524" s="231">
        <f t="shared" si="328"/>
        <v>1</v>
      </c>
      <c r="AF524" s="231">
        <f t="shared" si="329"/>
        <v>1</v>
      </c>
      <c r="AG524" s="231">
        <f t="shared" si="330"/>
        <v>1</v>
      </c>
      <c r="AH524" s="231">
        <f t="shared" si="331"/>
        <v>0</v>
      </c>
      <c r="AI524" s="231">
        <f t="shared" si="332"/>
        <v>0</v>
      </c>
      <c r="AJ524" s="231">
        <f t="shared" si="333"/>
        <v>0</v>
      </c>
      <c r="AK524" s="231">
        <f t="shared" si="334"/>
        <v>0</v>
      </c>
      <c r="AL524" s="231">
        <f t="shared" si="335"/>
        <v>1</v>
      </c>
      <c r="AM524" s="231">
        <f t="shared" si="336"/>
        <v>5</v>
      </c>
    </row>
    <row r="525" spans="4:39" x14ac:dyDescent="0.25">
      <c r="D525" s="231">
        <v>367</v>
      </c>
      <c r="E525" s="231" t="s">
        <v>72</v>
      </c>
      <c r="F525" s="231" t="s">
        <v>73</v>
      </c>
      <c r="H525" s="231" t="s">
        <v>69</v>
      </c>
      <c r="I525" s="231" t="s">
        <v>76</v>
      </c>
      <c r="J525" s="231" t="s">
        <v>75</v>
      </c>
      <c r="K525" s="231" t="s">
        <v>77</v>
      </c>
      <c r="L525" s="231" t="s">
        <v>78</v>
      </c>
      <c r="O525" s="232" t="s">
        <v>517</v>
      </c>
      <c r="R525" s="231" t="s">
        <v>568</v>
      </c>
      <c r="S525" s="231" t="s">
        <v>569</v>
      </c>
      <c r="T525" s="231" t="s">
        <v>574</v>
      </c>
      <c r="U525" s="231" t="s">
        <v>572</v>
      </c>
      <c r="V525" s="231" t="s">
        <v>575</v>
      </c>
      <c r="W525" s="231" t="s">
        <v>567</v>
      </c>
      <c r="X525" s="231" t="s">
        <v>564</v>
      </c>
      <c r="Y525" s="231" t="s">
        <v>571</v>
      </c>
      <c r="AA525" s="231">
        <f t="shared" si="324"/>
        <v>0</v>
      </c>
      <c r="AB525" s="231">
        <f t="shared" si="325"/>
        <v>0</v>
      </c>
      <c r="AC525" s="231">
        <f t="shared" si="326"/>
        <v>0</v>
      </c>
      <c r="AD525" s="231">
        <f t="shared" si="327"/>
        <v>1</v>
      </c>
      <c r="AE525" s="231">
        <f t="shared" si="328"/>
        <v>1</v>
      </c>
      <c r="AF525" s="231">
        <f t="shared" si="329"/>
        <v>1</v>
      </c>
      <c r="AG525" s="231">
        <f t="shared" si="330"/>
        <v>1</v>
      </c>
      <c r="AH525" s="231">
        <f t="shared" si="331"/>
        <v>0</v>
      </c>
      <c r="AI525" s="231">
        <f t="shared" si="332"/>
        <v>0</v>
      </c>
      <c r="AJ525" s="231">
        <f t="shared" si="333"/>
        <v>0</v>
      </c>
      <c r="AK525" s="231">
        <f t="shared" si="334"/>
        <v>0</v>
      </c>
      <c r="AL525" s="231">
        <f t="shared" si="335"/>
        <v>0</v>
      </c>
      <c r="AM525" s="231">
        <f t="shared" si="336"/>
        <v>4</v>
      </c>
    </row>
    <row r="526" spans="4:39" x14ac:dyDescent="0.25">
      <c r="D526" s="231">
        <v>368</v>
      </c>
      <c r="E526" s="231" t="s">
        <v>72</v>
      </c>
      <c r="F526" s="231" t="s">
        <v>73</v>
      </c>
      <c r="H526" s="231" t="s">
        <v>69</v>
      </c>
      <c r="I526" s="231" t="s">
        <v>76</v>
      </c>
      <c r="J526" s="231" t="s">
        <v>75</v>
      </c>
      <c r="K526" s="231" t="s">
        <v>77</v>
      </c>
      <c r="L526" s="231" t="s">
        <v>78</v>
      </c>
      <c r="N526" s="231" t="s">
        <v>516</v>
      </c>
      <c r="R526" s="231" t="s">
        <v>568</v>
      </c>
      <c r="S526" s="231" t="s">
        <v>569</v>
      </c>
      <c r="T526" s="231" t="s">
        <v>574</v>
      </c>
      <c r="U526" s="231" t="s">
        <v>572</v>
      </c>
      <c r="V526" s="231" t="s">
        <v>575</v>
      </c>
      <c r="W526" s="231" t="s">
        <v>567</v>
      </c>
      <c r="X526" s="231" t="s">
        <v>564</v>
      </c>
      <c r="Y526" s="231" t="s">
        <v>565</v>
      </c>
      <c r="AA526" s="231">
        <f t="shared" si="324"/>
        <v>0</v>
      </c>
      <c r="AB526" s="231">
        <f t="shared" si="325"/>
        <v>0</v>
      </c>
      <c r="AC526" s="231">
        <f t="shared" si="326"/>
        <v>0</v>
      </c>
      <c r="AD526" s="231">
        <f t="shared" si="327"/>
        <v>1</v>
      </c>
      <c r="AE526" s="231">
        <f t="shared" si="328"/>
        <v>1</v>
      </c>
      <c r="AF526" s="231">
        <f t="shared" si="329"/>
        <v>1</v>
      </c>
      <c r="AG526" s="231">
        <f t="shared" si="330"/>
        <v>1</v>
      </c>
      <c r="AH526" s="231">
        <f t="shared" si="331"/>
        <v>0</v>
      </c>
      <c r="AI526" s="231">
        <f t="shared" si="332"/>
        <v>0</v>
      </c>
      <c r="AJ526" s="231">
        <f t="shared" si="333"/>
        <v>1</v>
      </c>
      <c r="AK526" s="231">
        <f t="shared" si="334"/>
        <v>0</v>
      </c>
      <c r="AL526" s="231">
        <f t="shared" si="335"/>
        <v>0</v>
      </c>
      <c r="AM526" s="231">
        <f t="shared" si="336"/>
        <v>5</v>
      </c>
    </row>
    <row r="527" spans="4:39" x14ac:dyDescent="0.25">
      <c r="D527" s="231">
        <v>369</v>
      </c>
      <c r="E527" s="231" t="s">
        <v>72</v>
      </c>
      <c r="F527" s="231" t="s">
        <v>73</v>
      </c>
      <c r="H527" s="231" t="s">
        <v>69</v>
      </c>
      <c r="I527" s="231" t="s">
        <v>76</v>
      </c>
      <c r="J527" s="231" t="s">
        <v>75</v>
      </c>
      <c r="K527" s="231" t="s">
        <v>77</v>
      </c>
      <c r="L527" s="231" t="s">
        <v>78</v>
      </c>
      <c r="M527" s="231" t="s">
        <v>515</v>
      </c>
      <c r="R527" s="231" t="s">
        <v>568</v>
      </c>
      <c r="S527" s="231" t="s">
        <v>569</v>
      </c>
      <c r="T527" s="231" t="s">
        <v>574</v>
      </c>
      <c r="U527" s="231" t="s">
        <v>572</v>
      </c>
      <c r="V527" s="231" t="s">
        <v>575</v>
      </c>
      <c r="W527" s="231" t="s">
        <v>567</v>
      </c>
      <c r="X527" s="231" t="s">
        <v>564</v>
      </c>
      <c r="Y527" s="231" t="s">
        <v>566</v>
      </c>
      <c r="AA527" s="231">
        <f t="shared" si="324"/>
        <v>0</v>
      </c>
      <c r="AB527" s="231">
        <f t="shared" si="325"/>
        <v>0</v>
      </c>
      <c r="AC527" s="231">
        <f t="shared" si="326"/>
        <v>0</v>
      </c>
      <c r="AD527" s="231">
        <f t="shared" si="327"/>
        <v>1</v>
      </c>
      <c r="AE527" s="231">
        <f t="shared" si="328"/>
        <v>1</v>
      </c>
      <c r="AF527" s="231">
        <f t="shared" si="329"/>
        <v>1</v>
      </c>
      <c r="AG527" s="231">
        <f t="shared" si="330"/>
        <v>1</v>
      </c>
      <c r="AH527" s="231">
        <f t="shared" si="331"/>
        <v>0</v>
      </c>
      <c r="AI527" s="231">
        <f t="shared" si="332"/>
        <v>1</v>
      </c>
      <c r="AJ527" s="231">
        <f t="shared" si="333"/>
        <v>0</v>
      </c>
      <c r="AK527" s="231">
        <f t="shared" si="334"/>
        <v>0</v>
      </c>
      <c r="AL527" s="231">
        <f t="shared" si="335"/>
        <v>0</v>
      </c>
      <c r="AM527" s="231">
        <f t="shared" si="336"/>
        <v>5</v>
      </c>
    </row>
    <row r="528" spans="4:39" x14ac:dyDescent="0.25">
      <c r="D528" s="231">
        <v>370</v>
      </c>
      <c r="E528" s="231" t="s">
        <v>72</v>
      </c>
      <c r="F528" s="231" t="s">
        <v>73</v>
      </c>
      <c r="G528" s="231" t="s">
        <v>74</v>
      </c>
      <c r="L528" s="231" t="s">
        <v>78</v>
      </c>
      <c r="M528" s="231" t="s">
        <v>515</v>
      </c>
      <c r="N528" s="231" t="s">
        <v>516</v>
      </c>
      <c r="O528" s="232" t="s">
        <v>517</v>
      </c>
      <c r="P528" s="231" t="s">
        <v>70</v>
      </c>
      <c r="R528" s="231" t="s">
        <v>566</v>
      </c>
      <c r="S528" s="231" t="s">
        <v>565</v>
      </c>
      <c r="T528" s="231" t="s">
        <v>574</v>
      </c>
      <c r="U528" s="231" t="s">
        <v>573</v>
      </c>
      <c r="V528" s="231" t="s">
        <v>575</v>
      </c>
      <c r="W528" s="231" t="s">
        <v>568</v>
      </c>
      <c r="X528" s="231" t="s">
        <v>570</v>
      </c>
      <c r="Y528" s="231" t="s">
        <v>571</v>
      </c>
      <c r="AA528" s="231">
        <f t="shared" si="324"/>
        <v>0</v>
      </c>
      <c r="AB528" s="231">
        <f t="shared" si="325"/>
        <v>0</v>
      </c>
      <c r="AC528" s="231">
        <f t="shared" si="326"/>
        <v>1</v>
      </c>
      <c r="AD528" s="231">
        <f t="shared" si="327"/>
        <v>0</v>
      </c>
      <c r="AE528" s="231">
        <f t="shared" si="328"/>
        <v>0</v>
      </c>
      <c r="AF528" s="231">
        <f t="shared" si="329"/>
        <v>0</v>
      </c>
      <c r="AG528" s="231">
        <f t="shared" si="330"/>
        <v>0</v>
      </c>
      <c r="AH528" s="231">
        <f t="shared" si="331"/>
        <v>0</v>
      </c>
      <c r="AI528" s="231">
        <f t="shared" si="332"/>
        <v>1</v>
      </c>
      <c r="AJ528" s="231">
        <f t="shared" si="333"/>
        <v>1</v>
      </c>
      <c r="AK528" s="231">
        <f t="shared" si="334"/>
        <v>0</v>
      </c>
      <c r="AL528" s="231">
        <f t="shared" si="335"/>
        <v>1</v>
      </c>
      <c r="AM528" s="231">
        <f t="shared" si="336"/>
        <v>4</v>
      </c>
    </row>
    <row r="529" spans="4:39" x14ac:dyDescent="0.25">
      <c r="D529" s="231">
        <v>371</v>
      </c>
      <c r="E529" s="231" t="s">
        <v>72</v>
      </c>
      <c r="F529" s="231" t="s">
        <v>73</v>
      </c>
      <c r="G529" s="231" t="s">
        <v>74</v>
      </c>
      <c r="K529" s="231" t="s">
        <v>77</v>
      </c>
      <c r="M529" s="231" t="s">
        <v>515</v>
      </c>
      <c r="N529" s="231" t="s">
        <v>516</v>
      </c>
      <c r="O529" s="232" t="s">
        <v>517</v>
      </c>
      <c r="P529" s="231" t="s">
        <v>70</v>
      </c>
      <c r="R529" s="231" t="s">
        <v>566</v>
      </c>
      <c r="S529" s="231" t="s">
        <v>565</v>
      </c>
      <c r="T529" s="231" t="s">
        <v>574</v>
      </c>
      <c r="U529" s="231" t="s">
        <v>573</v>
      </c>
      <c r="V529" s="231" t="s">
        <v>575</v>
      </c>
      <c r="W529" s="231" t="s">
        <v>569</v>
      </c>
      <c r="X529" s="231" t="s">
        <v>570</v>
      </c>
      <c r="Y529" s="231" t="s">
        <v>571</v>
      </c>
      <c r="AA529" s="231">
        <f t="shared" si="324"/>
        <v>0</v>
      </c>
      <c r="AB529" s="231">
        <f t="shared" si="325"/>
        <v>0</v>
      </c>
      <c r="AC529" s="231">
        <f t="shared" si="326"/>
        <v>1</v>
      </c>
      <c r="AD529" s="231">
        <f t="shared" si="327"/>
        <v>0</v>
      </c>
      <c r="AE529" s="231">
        <f t="shared" si="328"/>
        <v>0</v>
      </c>
      <c r="AF529" s="231">
        <f t="shared" si="329"/>
        <v>0</v>
      </c>
      <c r="AG529" s="231">
        <f t="shared" si="330"/>
        <v>1</v>
      </c>
      <c r="AH529" s="231">
        <f t="shared" si="331"/>
        <v>0</v>
      </c>
      <c r="AI529" s="231">
        <f t="shared" si="332"/>
        <v>1</v>
      </c>
      <c r="AJ529" s="231">
        <f t="shared" si="333"/>
        <v>1</v>
      </c>
      <c r="AK529" s="231">
        <f t="shared" si="334"/>
        <v>0</v>
      </c>
      <c r="AL529" s="231">
        <f t="shared" si="335"/>
        <v>1</v>
      </c>
      <c r="AM529" s="231">
        <f t="shared" si="336"/>
        <v>5</v>
      </c>
    </row>
    <row r="530" spans="4:39" x14ac:dyDescent="0.25">
      <c r="D530" s="231">
        <v>372</v>
      </c>
      <c r="E530" s="231" t="s">
        <v>72</v>
      </c>
      <c r="F530" s="231" t="s">
        <v>73</v>
      </c>
      <c r="G530" s="231" t="s">
        <v>74</v>
      </c>
      <c r="K530" s="231" t="s">
        <v>77</v>
      </c>
      <c r="L530" s="231" t="s">
        <v>78</v>
      </c>
      <c r="N530" s="231" t="s">
        <v>516</v>
      </c>
      <c r="O530" s="232" t="s">
        <v>517</v>
      </c>
      <c r="P530" s="231" t="s">
        <v>70</v>
      </c>
      <c r="R530" s="231" t="s">
        <v>568</v>
      </c>
      <c r="S530" s="231" t="s">
        <v>565</v>
      </c>
      <c r="T530" s="231" t="s">
        <v>574</v>
      </c>
      <c r="U530" s="231" t="s">
        <v>573</v>
      </c>
      <c r="V530" s="231" t="s">
        <v>575</v>
      </c>
      <c r="W530" s="231" t="s">
        <v>569</v>
      </c>
      <c r="X530" s="231" t="s">
        <v>570</v>
      </c>
      <c r="Y530" s="231" t="s">
        <v>571</v>
      </c>
      <c r="AA530" s="231">
        <f t="shared" si="324"/>
        <v>0</v>
      </c>
      <c r="AB530" s="231">
        <f t="shared" si="325"/>
        <v>0</v>
      </c>
      <c r="AC530" s="231">
        <f t="shared" si="326"/>
        <v>1</v>
      </c>
      <c r="AD530" s="231">
        <f t="shared" si="327"/>
        <v>0</v>
      </c>
      <c r="AE530" s="231">
        <f t="shared" si="328"/>
        <v>0</v>
      </c>
      <c r="AF530" s="231">
        <f t="shared" si="329"/>
        <v>0</v>
      </c>
      <c r="AG530" s="231">
        <f t="shared" si="330"/>
        <v>1</v>
      </c>
      <c r="AH530" s="231">
        <f t="shared" si="331"/>
        <v>0</v>
      </c>
      <c r="AI530" s="231">
        <f t="shared" si="332"/>
        <v>0</v>
      </c>
      <c r="AJ530" s="231">
        <f t="shared" si="333"/>
        <v>1</v>
      </c>
      <c r="AK530" s="231">
        <f t="shared" si="334"/>
        <v>0</v>
      </c>
      <c r="AL530" s="231">
        <f t="shared" si="335"/>
        <v>1</v>
      </c>
      <c r="AM530" s="231">
        <f t="shared" si="336"/>
        <v>4</v>
      </c>
    </row>
    <row r="531" spans="4:39" x14ac:dyDescent="0.25">
      <c r="D531" s="231">
        <v>373</v>
      </c>
      <c r="E531" s="231" t="s">
        <v>72</v>
      </c>
      <c r="F531" s="231" t="s">
        <v>73</v>
      </c>
      <c r="G531" s="231" t="s">
        <v>74</v>
      </c>
      <c r="K531" s="231" t="s">
        <v>77</v>
      </c>
      <c r="L531" s="231" t="s">
        <v>78</v>
      </c>
      <c r="M531" s="231" t="s">
        <v>515</v>
      </c>
      <c r="O531" s="232" t="s">
        <v>517</v>
      </c>
      <c r="P531" s="231" t="s">
        <v>70</v>
      </c>
      <c r="R531" s="231" t="s">
        <v>566</v>
      </c>
      <c r="S531" s="231" t="s">
        <v>569</v>
      </c>
      <c r="T531" s="231" t="s">
        <v>574</v>
      </c>
      <c r="U531" s="231" t="s">
        <v>573</v>
      </c>
      <c r="V531" s="231" t="s">
        <v>575</v>
      </c>
      <c r="W531" s="231" t="s">
        <v>568</v>
      </c>
      <c r="X531" s="231" t="s">
        <v>570</v>
      </c>
      <c r="Y531" s="231" t="s">
        <v>571</v>
      </c>
      <c r="AA531" s="231">
        <f t="shared" si="324"/>
        <v>0</v>
      </c>
      <c r="AB531" s="231">
        <f t="shared" si="325"/>
        <v>0</v>
      </c>
      <c r="AC531" s="231">
        <f t="shared" si="326"/>
        <v>1</v>
      </c>
      <c r="AD531" s="231">
        <f t="shared" si="327"/>
        <v>0</v>
      </c>
      <c r="AE531" s="231">
        <f t="shared" si="328"/>
        <v>0</v>
      </c>
      <c r="AF531" s="231">
        <f t="shared" si="329"/>
        <v>0</v>
      </c>
      <c r="AG531" s="231">
        <f t="shared" si="330"/>
        <v>1</v>
      </c>
      <c r="AH531" s="231">
        <f t="shared" si="331"/>
        <v>0</v>
      </c>
      <c r="AI531" s="231">
        <f t="shared" si="332"/>
        <v>1</v>
      </c>
      <c r="AJ531" s="231">
        <f t="shared" si="333"/>
        <v>0</v>
      </c>
      <c r="AK531" s="231">
        <f t="shared" si="334"/>
        <v>0</v>
      </c>
      <c r="AL531" s="231">
        <f t="shared" si="335"/>
        <v>1</v>
      </c>
      <c r="AM531" s="231">
        <f t="shared" si="336"/>
        <v>4</v>
      </c>
    </row>
    <row r="532" spans="4:39" x14ac:dyDescent="0.25">
      <c r="D532" s="231">
        <v>374</v>
      </c>
      <c r="E532" s="231" t="s">
        <v>72</v>
      </c>
      <c r="F532" s="231" t="s">
        <v>73</v>
      </c>
      <c r="G532" s="231" t="s">
        <v>74</v>
      </c>
      <c r="K532" s="231" t="s">
        <v>77</v>
      </c>
      <c r="L532" s="231" t="s">
        <v>78</v>
      </c>
      <c r="M532" s="231" t="s">
        <v>515</v>
      </c>
      <c r="N532" s="231" t="s">
        <v>516</v>
      </c>
      <c r="P532" s="231" t="s">
        <v>70</v>
      </c>
      <c r="R532" s="231" t="s">
        <v>568</v>
      </c>
      <c r="S532" s="231" t="s">
        <v>565</v>
      </c>
      <c r="T532" s="231" t="s">
        <v>574</v>
      </c>
      <c r="U532" s="231" t="s">
        <v>573</v>
      </c>
      <c r="V532" s="231" t="s">
        <v>575</v>
      </c>
      <c r="W532" s="231" t="s">
        <v>569</v>
      </c>
      <c r="X532" s="231" t="s">
        <v>570</v>
      </c>
      <c r="Y532" s="231" t="s">
        <v>566</v>
      </c>
      <c r="AA532" s="231">
        <f t="shared" si="324"/>
        <v>0</v>
      </c>
      <c r="AB532" s="231">
        <f t="shared" si="325"/>
        <v>0</v>
      </c>
      <c r="AC532" s="231">
        <f t="shared" si="326"/>
        <v>1</v>
      </c>
      <c r="AD532" s="231">
        <f t="shared" si="327"/>
        <v>0</v>
      </c>
      <c r="AE532" s="231">
        <f t="shared" si="328"/>
        <v>0</v>
      </c>
      <c r="AF532" s="231">
        <f t="shared" si="329"/>
        <v>0</v>
      </c>
      <c r="AG532" s="231">
        <f t="shared" si="330"/>
        <v>1</v>
      </c>
      <c r="AH532" s="231">
        <f t="shared" si="331"/>
        <v>0</v>
      </c>
      <c r="AI532" s="231">
        <f t="shared" si="332"/>
        <v>1</v>
      </c>
      <c r="AJ532" s="231">
        <f t="shared" si="333"/>
        <v>1</v>
      </c>
      <c r="AK532" s="231">
        <f t="shared" si="334"/>
        <v>0</v>
      </c>
      <c r="AL532" s="231">
        <f t="shared" si="335"/>
        <v>1</v>
      </c>
      <c r="AM532" s="231">
        <f t="shared" si="336"/>
        <v>5</v>
      </c>
    </row>
    <row r="533" spans="4:39" x14ac:dyDescent="0.25">
      <c r="D533" s="231">
        <v>375</v>
      </c>
      <c r="E533" s="231" t="s">
        <v>72</v>
      </c>
      <c r="F533" s="231" t="s">
        <v>73</v>
      </c>
      <c r="G533" s="231" t="s">
        <v>74</v>
      </c>
      <c r="K533" s="231" t="s">
        <v>77</v>
      </c>
      <c r="L533" s="231" t="s">
        <v>78</v>
      </c>
      <c r="M533" s="231" t="s">
        <v>515</v>
      </c>
      <c r="N533" s="231" t="s">
        <v>516</v>
      </c>
      <c r="O533" s="232" t="s">
        <v>517</v>
      </c>
      <c r="R533" s="231" t="s">
        <v>568</v>
      </c>
      <c r="S533" s="231" t="s">
        <v>565</v>
      </c>
      <c r="T533" s="231" t="s">
        <v>574</v>
      </c>
      <c r="U533" s="231" t="s">
        <v>573</v>
      </c>
      <c r="V533" s="231" t="s">
        <v>575</v>
      </c>
      <c r="W533" s="231" t="s">
        <v>569</v>
      </c>
      <c r="X533" s="231" t="s">
        <v>566</v>
      </c>
      <c r="Y533" s="231" t="s">
        <v>571</v>
      </c>
      <c r="AA533" s="231">
        <f t="shared" si="324"/>
        <v>0</v>
      </c>
      <c r="AB533" s="231">
        <f t="shared" si="325"/>
        <v>0</v>
      </c>
      <c r="AC533" s="231">
        <f t="shared" si="326"/>
        <v>1</v>
      </c>
      <c r="AD533" s="231">
        <f t="shared" si="327"/>
        <v>0</v>
      </c>
      <c r="AE533" s="231">
        <f t="shared" si="328"/>
        <v>0</v>
      </c>
      <c r="AF533" s="231">
        <f t="shared" si="329"/>
        <v>0</v>
      </c>
      <c r="AG533" s="231">
        <f t="shared" si="330"/>
        <v>1</v>
      </c>
      <c r="AH533" s="231">
        <f t="shared" si="331"/>
        <v>0</v>
      </c>
      <c r="AI533" s="231">
        <f t="shared" si="332"/>
        <v>1</v>
      </c>
      <c r="AJ533" s="231">
        <f t="shared" si="333"/>
        <v>1</v>
      </c>
      <c r="AK533" s="231">
        <f t="shared" si="334"/>
        <v>0</v>
      </c>
      <c r="AL533" s="231">
        <f t="shared" si="335"/>
        <v>0</v>
      </c>
      <c r="AM533" s="231">
        <f t="shared" si="336"/>
        <v>4</v>
      </c>
    </row>
    <row r="534" spans="4:39" x14ac:dyDescent="0.25">
      <c r="D534" s="231">
        <v>376</v>
      </c>
      <c r="E534" s="231" t="s">
        <v>72</v>
      </c>
      <c r="F534" s="231" t="s">
        <v>73</v>
      </c>
      <c r="G534" s="231" t="s">
        <v>74</v>
      </c>
      <c r="J534" s="231" t="s">
        <v>75</v>
      </c>
      <c r="M534" s="231" t="s">
        <v>515</v>
      </c>
      <c r="N534" s="231" t="s">
        <v>516</v>
      </c>
      <c r="O534" s="232" t="s">
        <v>517</v>
      </c>
      <c r="P534" s="231" t="s">
        <v>70</v>
      </c>
      <c r="R534" s="231" t="s">
        <v>566</v>
      </c>
      <c r="S534" s="231" t="s">
        <v>565</v>
      </c>
      <c r="T534" s="231" t="s">
        <v>574</v>
      </c>
      <c r="U534" s="231" t="s">
        <v>573</v>
      </c>
      <c r="V534" s="231" t="s">
        <v>575</v>
      </c>
      <c r="W534" s="231" t="s">
        <v>567</v>
      </c>
      <c r="X534" s="231" t="s">
        <v>570</v>
      </c>
      <c r="Y534" s="231" t="s">
        <v>571</v>
      </c>
      <c r="AA534" s="231">
        <f t="shared" si="324"/>
        <v>0</v>
      </c>
      <c r="AB534" s="231">
        <f t="shared" si="325"/>
        <v>0</v>
      </c>
      <c r="AC534" s="231">
        <f t="shared" si="326"/>
        <v>1</v>
      </c>
      <c r="AD534" s="231">
        <f t="shared" si="327"/>
        <v>0</v>
      </c>
      <c r="AE534" s="231">
        <f t="shared" si="328"/>
        <v>0</v>
      </c>
      <c r="AF534" s="231">
        <f t="shared" si="329"/>
        <v>1</v>
      </c>
      <c r="AG534" s="231">
        <f t="shared" si="330"/>
        <v>0</v>
      </c>
      <c r="AH534" s="231">
        <f t="shared" si="331"/>
        <v>0</v>
      </c>
      <c r="AI534" s="231">
        <f t="shared" si="332"/>
        <v>1</v>
      </c>
      <c r="AJ534" s="231">
        <f t="shared" si="333"/>
        <v>1</v>
      </c>
      <c r="AK534" s="231">
        <f t="shared" si="334"/>
        <v>0</v>
      </c>
      <c r="AL534" s="231">
        <f t="shared" si="335"/>
        <v>1</v>
      </c>
      <c r="AM534" s="231">
        <f t="shared" si="336"/>
        <v>5</v>
      </c>
    </row>
    <row r="535" spans="4:39" x14ac:dyDescent="0.25">
      <c r="D535" s="231">
        <v>377</v>
      </c>
      <c r="E535" s="231" t="s">
        <v>72</v>
      </c>
      <c r="F535" s="231" t="s">
        <v>73</v>
      </c>
      <c r="G535" s="231" t="s">
        <v>74</v>
      </c>
      <c r="J535" s="231" t="s">
        <v>75</v>
      </c>
      <c r="L535" s="231" t="s">
        <v>78</v>
      </c>
      <c r="N535" s="231" t="s">
        <v>516</v>
      </c>
      <c r="O535" s="232" t="s">
        <v>517</v>
      </c>
      <c r="P535" s="231" t="s">
        <v>70</v>
      </c>
      <c r="R535" s="231" t="s">
        <v>568</v>
      </c>
      <c r="S535" s="231" t="s">
        <v>565</v>
      </c>
      <c r="T535" s="231" t="s">
        <v>574</v>
      </c>
      <c r="U535" s="231" t="s">
        <v>573</v>
      </c>
      <c r="V535" s="231" t="s">
        <v>575</v>
      </c>
      <c r="W535" s="231" t="s">
        <v>567</v>
      </c>
      <c r="X535" s="231" t="s">
        <v>570</v>
      </c>
      <c r="Y535" s="231" t="s">
        <v>571</v>
      </c>
      <c r="AA535" s="231">
        <f t="shared" si="324"/>
        <v>0</v>
      </c>
      <c r="AB535" s="231">
        <f t="shared" si="325"/>
        <v>0</v>
      </c>
      <c r="AC535" s="231">
        <f t="shared" si="326"/>
        <v>1</v>
      </c>
      <c r="AD535" s="231">
        <f t="shared" si="327"/>
        <v>0</v>
      </c>
      <c r="AE535" s="231">
        <f t="shared" si="328"/>
        <v>0</v>
      </c>
      <c r="AF535" s="231">
        <f t="shared" si="329"/>
        <v>1</v>
      </c>
      <c r="AG535" s="231">
        <f t="shared" si="330"/>
        <v>0</v>
      </c>
      <c r="AH535" s="231">
        <f t="shared" si="331"/>
        <v>0</v>
      </c>
      <c r="AI535" s="231">
        <f t="shared" si="332"/>
        <v>0</v>
      </c>
      <c r="AJ535" s="231">
        <f t="shared" si="333"/>
        <v>1</v>
      </c>
      <c r="AK535" s="231">
        <f t="shared" si="334"/>
        <v>0</v>
      </c>
      <c r="AL535" s="231">
        <f t="shared" si="335"/>
        <v>1</v>
      </c>
      <c r="AM535" s="231">
        <f t="shared" si="336"/>
        <v>4</v>
      </c>
    </row>
    <row r="536" spans="4:39" x14ac:dyDescent="0.25">
      <c r="D536" s="231">
        <v>378</v>
      </c>
      <c r="E536" s="231" t="s">
        <v>72</v>
      </c>
      <c r="F536" s="231" t="s">
        <v>73</v>
      </c>
      <c r="G536" s="231" t="s">
        <v>74</v>
      </c>
      <c r="J536" s="231" t="s">
        <v>75</v>
      </c>
      <c r="L536" s="231" t="s">
        <v>78</v>
      </c>
      <c r="M536" s="231" t="s">
        <v>515</v>
      </c>
      <c r="O536" s="232" t="s">
        <v>517</v>
      </c>
      <c r="P536" s="231" t="s">
        <v>70</v>
      </c>
      <c r="R536" s="231" t="s">
        <v>568</v>
      </c>
      <c r="S536" s="231" t="s">
        <v>566</v>
      </c>
      <c r="T536" s="231" t="s">
        <v>574</v>
      </c>
      <c r="U536" s="231" t="s">
        <v>573</v>
      </c>
      <c r="V536" s="231" t="s">
        <v>575</v>
      </c>
      <c r="W536" s="231" t="s">
        <v>567</v>
      </c>
      <c r="X536" s="231" t="s">
        <v>570</v>
      </c>
      <c r="Y536" s="231" t="s">
        <v>571</v>
      </c>
      <c r="AA536" s="231">
        <f t="shared" si="324"/>
        <v>0</v>
      </c>
      <c r="AB536" s="231">
        <f t="shared" si="325"/>
        <v>0</v>
      </c>
      <c r="AC536" s="231">
        <f t="shared" si="326"/>
        <v>1</v>
      </c>
      <c r="AD536" s="231">
        <f t="shared" si="327"/>
        <v>0</v>
      </c>
      <c r="AE536" s="231">
        <f t="shared" si="328"/>
        <v>0</v>
      </c>
      <c r="AF536" s="231">
        <f t="shared" si="329"/>
        <v>1</v>
      </c>
      <c r="AG536" s="231">
        <f t="shared" si="330"/>
        <v>0</v>
      </c>
      <c r="AH536" s="231">
        <f t="shared" si="331"/>
        <v>0</v>
      </c>
      <c r="AI536" s="231">
        <f t="shared" si="332"/>
        <v>1</v>
      </c>
      <c r="AJ536" s="231">
        <f t="shared" si="333"/>
        <v>0</v>
      </c>
      <c r="AK536" s="231">
        <f t="shared" si="334"/>
        <v>0</v>
      </c>
      <c r="AL536" s="231">
        <f t="shared" si="335"/>
        <v>1</v>
      </c>
      <c r="AM536" s="231">
        <f t="shared" si="336"/>
        <v>4</v>
      </c>
    </row>
    <row r="537" spans="4:39" x14ac:dyDescent="0.25">
      <c r="D537" s="231">
        <v>379</v>
      </c>
      <c r="E537" s="231" t="s">
        <v>72</v>
      </c>
      <c r="F537" s="231" t="s">
        <v>73</v>
      </c>
      <c r="G537" s="231" t="s">
        <v>74</v>
      </c>
      <c r="J537" s="231" t="s">
        <v>75</v>
      </c>
      <c r="L537" s="231" t="s">
        <v>78</v>
      </c>
      <c r="M537" s="231" t="s">
        <v>515</v>
      </c>
      <c r="N537" s="231" t="s">
        <v>516</v>
      </c>
      <c r="P537" s="231" t="s">
        <v>70</v>
      </c>
      <c r="R537" s="231" t="s">
        <v>568</v>
      </c>
      <c r="S537" s="231" t="s">
        <v>565</v>
      </c>
      <c r="T537" s="231" t="s">
        <v>574</v>
      </c>
      <c r="U537" s="231" t="s">
        <v>573</v>
      </c>
      <c r="V537" s="231" t="s">
        <v>575</v>
      </c>
      <c r="W537" s="231" t="s">
        <v>567</v>
      </c>
      <c r="X537" s="231" t="s">
        <v>570</v>
      </c>
      <c r="Y537" s="231" t="s">
        <v>566</v>
      </c>
      <c r="AA537" s="231">
        <f t="shared" si="324"/>
        <v>0</v>
      </c>
      <c r="AB537" s="231">
        <f t="shared" si="325"/>
        <v>0</v>
      </c>
      <c r="AC537" s="231">
        <f t="shared" si="326"/>
        <v>1</v>
      </c>
      <c r="AD537" s="231">
        <f t="shared" si="327"/>
        <v>0</v>
      </c>
      <c r="AE537" s="231">
        <f t="shared" si="328"/>
        <v>0</v>
      </c>
      <c r="AF537" s="231">
        <f t="shared" si="329"/>
        <v>1</v>
      </c>
      <c r="AG537" s="231">
        <f t="shared" si="330"/>
        <v>0</v>
      </c>
      <c r="AH537" s="231">
        <f t="shared" si="331"/>
        <v>0</v>
      </c>
      <c r="AI537" s="231">
        <f t="shared" si="332"/>
        <v>1</v>
      </c>
      <c r="AJ537" s="231">
        <f t="shared" si="333"/>
        <v>1</v>
      </c>
      <c r="AK537" s="231">
        <f t="shared" si="334"/>
        <v>0</v>
      </c>
      <c r="AL537" s="231">
        <f t="shared" si="335"/>
        <v>1</v>
      </c>
      <c r="AM537" s="231">
        <f t="shared" si="336"/>
        <v>5</v>
      </c>
    </row>
    <row r="538" spans="4:39" x14ac:dyDescent="0.25">
      <c r="D538" s="231">
        <v>380</v>
      </c>
      <c r="E538" s="231" t="s">
        <v>72</v>
      </c>
      <c r="F538" s="231" t="s">
        <v>73</v>
      </c>
      <c r="G538" s="231" t="s">
        <v>74</v>
      </c>
      <c r="J538" s="231" t="s">
        <v>75</v>
      </c>
      <c r="L538" s="231" t="s">
        <v>78</v>
      </c>
      <c r="M538" s="231" t="s">
        <v>515</v>
      </c>
      <c r="N538" s="231" t="s">
        <v>516</v>
      </c>
      <c r="O538" s="232" t="s">
        <v>517</v>
      </c>
      <c r="R538" s="231" t="s">
        <v>568</v>
      </c>
      <c r="S538" s="231" t="s">
        <v>565</v>
      </c>
      <c r="T538" s="231" t="s">
        <v>574</v>
      </c>
      <c r="U538" s="231" t="s">
        <v>573</v>
      </c>
      <c r="V538" s="231" t="s">
        <v>575</v>
      </c>
      <c r="W538" s="231" t="s">
        <v>567</v>
      </c>
      <c r="X538" s="231" t="s">
        <v>566</v>
      </c>
      <c r="Y538" s="231" t="s">
        <v>571</v>
      </c>
      <c r="AA538" s="231">
        <f t="shared" si="324"/>
        <v>0</v>
      </c>
      <c r="AB538" s="231">
        <f t="shared" si="325"/>
        <v>0</v>
      </c>
      <c r="AC538" s="231">
        <f t="shared" si="326"/>
        <v>1</v>
      </c>
      <c r="AD538" s="231">
        <f t="shared" si="327"/>
        <v>0</v>
      </c>
      <c r="AE538" s="231">
        <f t="shared" si="328"/>
        <v>0</v>
      </c>
      <c r="AF538" s="231">
        <f t="shared" si="329"/>
        <v>1</v>
      </c>
      <c r="AG538" s="231">
        <f t="shared" si="330"/>
        <v>0</v>
      </c>
      <c r="AH538" s="231">
        <f t="shared" si="331"/>
        <v>0</v>
      </c>
      <c r="AI538" s="231">
        <f t="shared" si="332"/>
        <v>1</v>
      </c>
      <c r="AJ538" s="231">
        <f t="shared" si="333"/>
        <v>1</v>
      </c>
      <c r="AK538" s="231">
        <f t="shared" si="334"/>
        <v>0</v>
      </c>
      <c r="AL538" s="231">
        <f t="shared" si="335"/>
        <v>0</v>
      </c>
      <c r="AM538" s="231">
        <f t="shared" si="336"/>
        <v>4</v>
      </c>
    </row>
    <row r="539" spans="4:39" x14ac:dyDescent="0.25">
      <c r="D539" s="231">
        <v>381</v>
      </c>
      <c r="E539" s="231" t="s">
        <v>72</v>
      </c>
      <c r="F539" s="231" t="s">
        <v>73</v>
      </c>
      <c r="G539" s="231" t="s">
        <v>74</v>
      </c>
      <c r="J539" s="231" t="s">
        <v>75</v>
      </c>
      <c r="K539" s="231" t="s">
        <v>77</v>
      </c>
      <c r="N539" s="231" t="s">
        <v>516</v>
      </c>
      <c r="O539" s="232" t="s">
        <v>517</v>
      </c>
      <c r="P539" s="231" t="s">
        <v>70</v>
      </c>
      <c r="R539" s="231" t="s">
        <v>573</v>
      </c>
      <c r="S539" s="231" t="s">
        <v>565</v>
      </c>
      <c r="T539" s="231" t="s">
        <v>574</v>
      </c>
      <c r="U539" s="231" t="s">
        <v>567</v>
      </c>
      <c r="V539" s="231" t="s">
        <v>575</v>
      </c>
      <c r="W539" s="231" t="s">
        <v>569</v>
      </c>
      <c r="X539" s="231" t="s">
        <v>570</v>
      </c>
      <c r="Y539" s="231" t="s">
        <v>571</v>
      </c>
      <c r="AA539" s="231">
        <f t="shared" si="324"/>
        <v>0</v>
      </c>
      <c r="AB539" s="231">
        <f t="shared" si="325"/>
        <v>0</v>
      </c>
      <c r="AC539" s="231">
        <f t="shared" si="326"/>
        <v>1</v>
      </c>
      <c r="AD539" s="231">
        <f t="shared" si="327"/>
        <v>0</v>
      </c>
      <c r="AE539" s="231">
        <f t="shared" si="328"/>
        <v>0</v>
      </c>
      <c r="AF539" s="231">
        <f t="shared" si="329"/>
        <v>1</v>
      </c>
      <c r="AG539" s="231">
        <f t="shared" si="330"/>
        <v>1</v>
      </c>
      <c r="AH539" s="231">
        <f t="shared" si="331"/>
        <v>0</v>
      </c>
      <c r="AI539" s="231">
        <f t="shared" si="332"/>
        <v>0</v>
      </c>
      <c r="AJ539" s="231">
        <f t="shared" si="333"/>
        <v>1</v>
      </c>
      <c r="AK539" s="231">
        <f t="shared" si="334"/>
        <v>0</v>
      </c>
      <c r="AL539" s="231">
        <f t="shared" si="335"/>
        <v>1</v>
      </c>
      <c r="AM539" s="231">
        <f t="shared" si="336"/>
        <v>5</v>
      </c>
    </row>
    <row r="540" spans="4:39" x14ac:dyDescent="0.25">
      <c r="D540" s="231">
        <v>382</v>
      </c>
      <c r="E540" s="231" t="s">
        <v>72</v>
      </c>
      <c r="F540" s="231" t="s">
        <v>73</v>
      </c>
      <c r="G540" s="231" t="s">
        <v>74</v>
      </c>
      <c r="J540" s="231" t="s">
        <v>75</v>
      </c>
      <c r="K540" s="231" t="s">
        <v>77</v>
      </c>
      <c r="M540" s="231" t="s">
        <v>515</v>
      </c>
      <c r="O540" s="232" t="s">
        <v>517</v>
      </c>
      <c r="P540" s="231" t="s">
        <v>70</v>
      </c>
      <c r="R540" s="231" t="s">
        <v>566</v>
      </c>
      <c r="S540" s="231" t="s">
        <v>569</v>
      </c>
      <c r="T540" s="231" t="s">
        <v>574</v>
      </c>
      <c r="U540" s="231" t="s">
        <v>573</v>
      </c>
      <c r="V540" s="231" t="s">
        <v>575</v>
      </c>
      <c r="W540" s="231" t="s">
        <v>567</v>
      </c>
      <c r="X540" s="231" t="s">
        <v>570</v>
      </c>
      <c r="Y540" s="231" t="s">
        <v>571</v>
      </c>
      <c r="AA540" s="231">
        <f t="shared" si="324"/>
        <v>0</v>
      </c>
      <c r="AB540" s="231">
        <f t="shared" si="325"/>
        <v>0</v>
      </c>
      <c r="AC540" s="231">
        <f t="shared" si="326"/>
        <v>1</v>
      </c>
      <c r="AD540" s="231">
        <f t="shared" si="327"/>
        <v>0</v>
      </c>
      <c r="AE540" s="231">
        <f t="shared" si="328"/>
        <v>0</v>
      </c>
      <c r="AF540" s="231">
        <f t="shared" si="329"/>
        <v>1</v>
      </c>
      <c r="AG540" s="231">
        <f t="shared" si="330"/>
        <v>1</v>
      </c>
      <c r="AH540" s="231">
        <f t="shared" si="331"/>
        <v>0</v>
      </c>
      <c r="AI540" s="231">
        <f t="shared" si="332"/>
        <v>1</v>
      </c>
      <c r="AJ540" s="231">
        <f t="shared" si="333"/>
        <v>0</v>
      </c>
      <c r="AK540" s="231">
        <f t="shared" si="334"/>
        <v>0</v>
      </c>
      <c r="AL540" s="231">
        <f t="shared" si="335"/>
        <v>1</v>
      </c>
      <c r="AM540" s="231">
        <f t="shared" si="336"/>
        <v>5</v>
      </c>
    </row>
    <row r="541" spans="4:39" x14ac:dyDescent="0.25">
      <c r="D541" s="231">
        <v>383</v>
      </c>
      <c r="E541" s="231" t="s">
        <v>72</v>
      </c>
      <c r="F541" s="231" t="s">
        <v>73</v>
      </c>
      <c r="G541" s="231" t="s">
        <v>74</v>
      </c>
      <c r="J541" s="231" t="s">
        <v>75</v>
      </c>
      <c r="K541" s="231" t="s">
        <v>77</v>
      </c>
      <c r="M541" s="231" t="s">
        <v>515</v>
      </c>
      <c r="N541" s="231" t="s">
        <v>516</v>
      </c>
      <c r="P541" s="231" t="s">
        <v>70</v>
      </c>
      <c r="R541" s="231" t="s">
        <v>573</v>
      </c>
      <c r="S541" s="231" t="s">
        <v>565</v>
      </c>
      <c r="T541" s="231" t="s">
        <v>574</v>
      </c>
      <c r="U541" s="231" t="s">
        <v>567</v>
      </c>
      <c r="V541" s="231" t="s">
        <v>575</v>
      </c>
      <c r="W541" s="231" t="s">
        <v>569</v>
      </c>
      <c r="X541" s="231" t="s">
        <v>570</v>
      </c>
      <c r="Y541" s="231" t="s">
        <v>566</v>
      </c>
      <c r="AA541" s="231">
        <f t="shared" si="324"/>
        <v>0</v>
      </c>
      <c r="AB541" s="231">
        <f t="shared" si="325"/>
        <v>0</v>
      </c>
      <c r="AC541" s="231">
        <f t="shared" si="326"/>
        <v>1</v>
      </c>
      <c r="AD541" s="231">
        <f t="shared" si="327"/>
        <v>0</v>
      </c>
      <c r="AE541" s="231">
        <f t="shared" si="328"/>
        <v>0</v>
      </c>
      <c r="AF541" s="231">
        <f t="shared" si="329"/>
        <v>1</v>
      </c>
      <c r="AG541" s="231">
        <f t="shared" si="330"/>
        <v>1</v>
      </c>
      <c r="AH541" s="231">
        <f t="shared" si="331"/>
        <v>0</v>
      </c>
      <c r="AI541" s="231">
        <f t="shared" si="332"/>
        <v>1</v>
      </c>
      <c r="AJ541" s="231">
        <f t="shared" si="333"/>
        <v>1</v>
      </c>
      <c r="AK541" s="231">
        <f t="shared" si="334"/>
        <v>0</v>
      </c>
      <c r="AL541" s="231">
        <f t="shared" si="335"/>
        <v>1</v>
      </c>
      <c r="AM541" s="231">
        <f t="shared" si="336"/>
        <v>6</v>
      </c>
    </row>
    <row r="542" spans="4:39" x14ac:dyDescent="0.25">
      <c r="D542" s="231">
        <v>384</v>
      </c>
      <c r="E542" s="231" t="s">
        <v>72</v>
      </c>
      <c r="F542" s="231" t="s">
        <v>73</v>
      </c>
      <c r="G542" s="231" t="s">
        <v>74</v>
      </c>
      <c r="J542" s="231" t="s">
        <v>75</v>
      </c>
      <c r="K542" s="231" t="s">
        <v>77</v>
      </c>
      <c r="M542" s="231" t="s">
        <v>515</v>
      </c>
      <c r="N542" s="231" t="s">
        <v>516</v>
      </c>
      <c r="O542" s="232" t="s">
        <v>517</v>
      </c>
      <c r="R542" s="231" t="s">
        <v>573</v>
      </c>
      <c r="S542" s="231" t="s">
        <v>565</v>
      </c>
      <c r="T542" s="231" t="s">
        <v>574</v>
      </c>
      <c r="U542" s="231" t="s">
        <v>567</v>
      </c>
      <c r="V542" s="231" t="s">
        <v>575</v>
      </c>
      <c r="W542" s="231" t="s">
        <v>569</v>
      </c>
      <c r="X542" s="231" t="s">
        <v>566</v>
      </c>
      <c r="Y542" s="231" t="s">
        <v>571</v>
      </c>
      <c r="AA542" s="231">
        <f t="shared" si="324"/>
        <v>0</v>
      </c>
      <c r="AB542" s="231">
        <f t="shared" si="325"/>
        <v>0</v>
      </c>
      <c r="AC542" s="231">
        <f t="shared" si="326"/>
        <v>1</v>
      </c>
      <c r="AD542" s="231">
        <f t="shared" si="327"/>
        <v>0</v>
      </c>
      <c r="AE542" s="231">
        <f t="shared" si="328"/>
        <v>0</v>
      </c>
      <c r="AF542" s="231">
        <f t="shared" si="329"/>
        <v>1</v>
      </c>
      <c r="AG542" s="231">
        <f t="shared" si="330"/>
        <v>1</v>
      </c>
      <c r="AH542" s="231">
        <f t="shared" si="331"/>
        <v>0</v>
      </c>
      <c r="AI542" s="231">
        <f t="shared" si="332"/>
        <v>1</v>
      </c>
      <c r="AJ542" s="231">
        <f t="shared" si="333"/>
        <v>1</v>
      </c>
      <c r="AK542" s="231">
        <f t="shared" si="334"/>
        <v>0</v>
      </c>
      <c r="AL542" s="231">
        <f t="shared" si="335"/>
        <v>0</v>
      </c>
      <c r="AM542" s="231">
        <f t="shared" si="336"/>
        <v>5</v>
      </c>
    </row>
    <row r="543" spans="4:39" x14ac:dyDescent="0.25">
      <c r="D543" s="231">
        <v>385</v>
      </c>
      <c r="E543" s="231" t="s">
        <v>72</v>
      </c>
      <c r="F543" s="231" t="s">
        <v>73</v>
      </c>
      <c r="G543" s="231" t="s">
        <v>74</v>
      </c>
      <c r="J543" s="231" t="s">
        <v>75</v>
      </c>
      <c r="K543" s="231" t="s">
        <v>77</v>
      </c>
      <c r="L543" s="231" t="s">
        <v>78</v>
      </c>
      <c r="O543" s="232" t="s">
        <v>517</v>
      </c>
      <c r="P543" s="231" t="s">
        <v>70</v>
      </c>
      <c r="R543" s="231" t="s">
        <v>568</v>
      </c>
      <c r="S543" s="231" t="s">
        <v>569</v>
      </c>
      <c r="T543" s="231" t="s">
        <v>574</v>
      </c>
      <c r="U543" s="231" t="s">
        <v>573</v>
      </c>
      <c r="V543" s="231" t="s">
        <v>575</v>
      </c>
      <c r="W543" s="231" t="s">
        <v>567</v>
      </c>
      <c r="X543" s="231" t="s">
        <v>570</v>
      </c>
      <c r="Y543" s="231" t="s">
        <v>571</v>
      </c>
      <c r="AA543" s="231">
        <f t="shared" si="324"/>
        <v>0</v>
      </c>
      <c r="AB543" s="231">
        <f t="shared" si="325"/>
        <v>0</v>
      </c>
      <c r="AC543" s="231">
        <f t="shared" si="326"/>
        <v>1</v>
      </c>
      <c r="AD543" s="231">
        <f t="shared" si="327"/>
        <v>0</v>
      </c>
      <c r="AE543" s="231">
        <f t="shared" si="328"/>
        <v>0</v>
      </c>
      <c r="AF543" s="231">
        <f t="shared" si="329"/>
        <v>1</v>
      </c>
      <c r="AG543" s="231">
        <f t="shared" si="330"/>
        <v>1</v>
      </c>
      <c r="AH543" s="231">
        <f t="shared" si="331"/>
        <v>0</v>
      </c>
      <c r="AI543" s="231">
        <f t="shared" si="332"/>
        <v>0</v>
      </c>
      <c r="AJ543" s="231">
        <f t="shared" si="333"/>
        <v>0</v>
      </c>
      <c r="AK543" s="231">
        <f t="shared" si="334"/>
        <v>0</v>
      </c>
      <c r="AL543" s="231">
        <f t="shared" si="335"/>
        <v>1</v>
      </c>
      <c r="AM543" s="231">
        <f t="shared" si="336"/>
        <v>4</v>
      </c>
    </row>
    <row r="544" spans="4:39" x14ac:dyDescent="0.25">
      <c r="D544" s="231">
        <v>386</v>
      </c>
      <c r="E544" s="231" t="s">
        <v>72</v>
      </c>
      <c r="F544" s="231" t="s">
        <v>73</v>
      </c>
      <c r="G544" s="231" t="s">
        <v>74</v>
      </c>
      <c r="J544" s="231" t="s">
        <v>75</v>
      </c>
      <c r="K544" s="231" t="s">
        <v>77</v>
      </c>
      <c r="L544" s="231" t="s">
        <v>78</v>
      </c>
      <c r="N544" s="231" t="s">
        <v>516</v>
      </c>
      <c r="P544" s="231" t="s">
        <v>70</v>
      </c>
      <c r="R544" s="231" t="s">
        <v>568</v>
      </c>
      <c r="S544" s="231" t="s">
        <v>569</v>
      </c>
      <c r="T544" s="231" t="s">
        <v>574</v>
      </c>
      <c r="U544" s="231" t="s">
        <v>573</v>
      </c>
      <c r="V544" s="231" t="s">
        <v>575</v>
      </c>
      <c r="W544" s="231" t="s">
        <v>567</v>
      </c>
      <c r="X544" s="231" t="s">
        <v>570</v>
      </c>
      <c r="Y544" s="231" t="s">
        <v>565</v>
      </c>
      <c r="AA544" s="231">
        <f t="shared" ref="AA544:AA607" si="337">IF(AND(E544&lt;&gt;"",AA$158=1),1,0)</f>
        <v>0</v>
      </c>
      <c r="AB544" s="231">
        <f t="shared" ref="AB544:AB607" si="338">IF(AND(F544&lt;&gt;"",AB$158=1),1,0)</f>
        <v>0</v>
      </c>
      <c r="AC544" s="231">
        <f t="shared" ref="AC544:AC607" si="339">IF(AND(G544&lt;&gt;"",AC$158=1),1,0)</f>
        <v>1</v>
      </c>
      <c r="AD544" s="231">
        <f t="shared" ref="AD544:AD607" si="340">IF(AND(H544&lt;&gt;"",AD$158=1),1,0)</f>
        <v>0</v>
      </c>
      <c r="AE544" s="231">
        <f t="shared" ref="AE544:AE607" si="341">IF(AND(I544&lt;&gt;"",AE$158=1),1,0)</f>
        <v>0</v>
      </c>
      <c r="AF544" s="231">
        <f t="shared" ref="AF544:AF607" si="342">IF(AND(J544&lt;&gt;"",AF$158=1),1,0)</f>
        <v>1</v>
      </c>
      <c r="AG544" s="231">
        <f t="shared" ref="AG544:AG607" si="343">IF(AND(K544&lt;&gt;"",AG$158=1),1,0)</f>
        <v>1</v>
      </c>
      <c r="AH544" s="231">
        <f t="shared" ref="AH544:AH607" si="344">IF(AND(L544&lt;&gt;"",AH$158=1),1,0)</f>
        <v>0</v>
      </c>
      <c r="AI544" s="231">
        <f t="shared" ref="AI544:AI607" si="345">IF(AND(M544&lt;&gt;"",AI$158=1),1,0)</f>
        <v>0</v>
      </c>
      <c r="AJ544" s="231">
        <f t="shared" ref="AJ544:AJ607" si="346">IF(AND(N544&lt;&gt;"",AJ$158=1),1,0)</f>
        <v>1</v>
      </c>
      <c r="AK544" s="231">
        <f t="shared" ref="AK544:AK607" si="347">IF(AND(O544&lt;&gt;"",AK$158=1),1,0)</f>
        <v>0</v>
      </c>
      <c r="AL544" s="231">
        <f t="shared" ref="AL544:AL607" si="348">IF(AND(P544&lt;&gt;"",AL$158=1),1,0)</f>
        <v>1</v>
      </c>
      <c r="AM544" s="231">
        <f t="shared" ref="AM544:AM607" si="349">SUM(AA544:AL544)</f>
        <v>5</v>
      </c>
    </row>
    <row r="545" spans="4:39" x14ac:dyDescent="0.25">
      <c r="D545" s="231">
        <v>387</v>
      </c>
      <c r="E545" s="231" t="s">
        <v>72</v>
      </c>
      <c r="F545" s="231" t="s">
        <v>73</v>
      </c>
      <c r="G545" s="231" t="s">
        <v>74</v>
      </c>
      <c r="J545" s="231" t="s">
        <v>75</v>
      </c>
      <c r="K545" s="231" t="s">
        <v>77</v>
      </c>
      <c r="L545" s="231" t="s">
        <v>78</v>
      </c>
      <c r="N545" s="231" t="s">
        <v>516</v>
      </c>
      <c r="O545" s="232" t="s">
        <v>517</v>
      </c>
      <c r="R545" s="231" t="s">
        <v>568</v>
      </c>
      <c r="S545" s="231" t="s">
        <v>569</v>
      </c>
      <c r="T545" s="231" t="s">
        <v>574</v>
      </c>
      <c r="U545" s="231" t="s">
        <v>573</v>
      </c>
      <c r="V545" s="231" t="s">
        <v>575</v>
      </c>
      <c r="W545" s="231" t="s">
        <v>567</v>
      </c>
      <c r="X545" s="231" t="s">
        <v>565</v>
      </c>
      <c r="Y545" s="231" t="s">
        <v>571</v>
      </c>
      <c r="AA545" s="231">
        <f t="shared" si="337"/>
        <v>0</v>
      </c>
      <c r="AB545" s="231">
        <f t="shared" si="338"/>
        <v>0</v>
      </c>
      <c r="AC545" s="231">
        <f t="shared" si="339"/>
        <v>1</v>
      </c>
      <c r="AD545" s="231">
        <f t="shared" si="340"/>
        <v>0</v>
      </c>
      <c r="AE545" s="231">
        <f t="shared" si="341"/>
        <v>0</v>
      </c>
      <c r="AF545" s="231">
        <f t="shared" si="342"/>
        <v>1</v>
      </c>
      <c r="AG545" s="231">
        <f t="shared" si="343"/>
        <v>1</v>
      </c>
      <c r="AH545" s="231">
        <f t="shared" si="344"/>
        <v>0</v>
      </c>
      <c r="AI545" s="231">
        <f t="shared" si="345"/>
        <v>0</v>
      </c>
      <c r="AJ545" s="231">
        <f t="shared" si="346"/>
        <v>1</v>
      </c>
      <c r="AK545" s="231">
        <f t="shared" si="347"/>
        <v>0</v>
      </c>
      <c r="AL545" s="231">
        <f t="shared" si="348"/>
        <v>0</v>
      </c>
      <c r="AM545" s="231">
        <f t="shared" si="349"/>
        <v>4</v>
      </c>
    </row>
    <row r="546" spans="4:39" x14ac:dyDescent="0.25">
      <c r="D546" s="231">
        <v>388</v>
      </c>
      <c r="E546" s="231" t="s">
        <v>72</v>
      </c>
      <c r="F546" s="231" t="s">
        <v>73</v>
      </c>
      <c r="G546" s="231" t="s">
        <v>74</v>
      </c>
      <c r="J546" s="231" t="s">
        <v>75</v>
      </c>
      <c r="K546" s="231" t="s">
        <v>77</v>
      </c>
      <c r="L546" s="231" t="s">
        <v>78</v>
      </c>
      <c r="M546" s="231" t="s">
        <v>515</v>
      </c>
      <c r="P546" s="231" t="s">
        <v>70</v>
      </c>
      <c r="R546" s="231" t="s">
        <v>568</v>
      </c>
      <c r="S546" s="231" t="s">
        <v>569</v>
      </c>
      <c r="T546" s="231" t="s">
        <v>574</v>
      </c>
      <c r="U546" s="231" t="s">
        <v>573</v>
      </c>
      <c r="V546" s="231" t="s">
        <v>575</v>
      </c>
      <c r="W546" s="231" t="s">
        <v>567</v>
      </c>
      <c r="X546" s="231" t="s">
        <v>570</v>
      </c>
      <c r="Y546" s="231" t="s">
        <v>566</v>
      </c>
      <c r="AA546" s="231">
        <f t="shared" si="337"/>
        <v>0</v>
      </c>
      <c r="AB546" s="231">
        <f t="shared" si="338"/>
        <v>0</v>
      </c>
      <c r="AC546" s="231">
        <f t="shared" si="339"/>
        <v>1</v>
      </c>
      <c r="AD546" s="231">
        <f t="shared" si="340"/>
        <v>0</v>
      </c>
      <c r="AE546" s="231">
        <f t="shared" si="341"/>
        <v>0</v>
      </c>
      <c r="AF546" s="231">
        <f t="shared" si="342"/>
        <v>1</v>
      </c>
      <c r="AG546" s="231">
        <f t="shared" si="343"/>
        <v>1</v>
      </c>
      <c r="AH546" s="231">
        <f t="shared" si="344"/>
        <v>0</v>
      </c>
      <c r="AI546" s="231">
        <f t="shared" si="345"/>
        <v>1</v>
      </c>
      <c r="AJ546" s="231">
        <f t="shared" si="346"/>
        <v>0</v>
      </c>
      <c r="AK546" s="231">
        <f t="shared" si="347"/>
        <v>0</v>
      </c>
      <c r="AL546" s="231">
        <f t="shared" si="348"/>
        <v>1</v>
      </c>
      <c r="AM546" s="231">
        <f t="shared" si="349"/>
        <v>5</v>
      </c>
    </row>
    <row r="547" spans="4:39" x14ac:dyDescent="0.25">
      <c r="D547" s="231">
        <v>389</v>
      </c>
      <c r="E547" s="231" t="s">
        <v>72</v>
      </c>
      <c r="F547" s="231" t="s">
        <v>73</v>
      </c>
      <c r="G547" s="231" t="s">
        <v>74</v>
      </c>
      <c r="J547" s="231" t="s">
        <v>75</v>
      </c>
      <c r="K547" s="231" t="s">
        <v>77</v>
      </c>
      <c r="L547" s="231" t="s">
        <v>78</v>
      </c>
      <c r="M547" s="231" t="s">
        <v>515</v>
      </c>
      <c r="O547" s="232" t="s">
        <v>517</v>
      </c>
      <c r="R547" s="231" t="s">
        <v>568</v>
      </c>
      <c r="S547" s="231" t="s">
        <v>569</v>
      </c>
      <c r="T547" s="231" t="s">
        <v>574</v>
      </c>
      <c r="U547" s="231" t="s">
        <v>573</v>
      </c>
      <c r="V547" s="231" t="s">
        <v>575</v>
      </c>
      <c r="W547" s="231" t="s">
        <v>567</v>
      </c>
      <c r="X547" s="231" t="s">
        <v>566</v>
      </c>
      <c r="Y547" s="231" t="s">
        <v>571</v>
      </c>
      <c r="AA547" s="231">
        <f t="shared" si="337"/>
        <v>0</v>
      </c>
      <c r="AB547" s="231">
        <f t="shared" si="338"/>
        <v>0</v>
      </c>
      <c r="AC547" s="231">
        <f t="shared" si="339"/>
        <v>1</v>
      </c>
      <c r="AD547" s="231">
        <f t="shared" si="340"/>
        <v>0</v>
      </c>
      <c r="AE547" s="231">
        <f t="shared" si="341"/>
        <v>0</v>
      </c>
      <c r="AF547" s="231">
        <f t="shared" si="342"/>
        <v>1</v>
      </c>
      <c r="AG547" s="231">
        <f t="shared" si="343"/>
        <v>1</v>
      </c>
      <c r="AH547" s="231">
        <f t="shared" si="344"/>
        <v>0</v>
      </c>
      <c r="AI547" s="231">
        <f t="shared" si="345"/>
        <v>1</v>
      </c>
      <c r="AJ547" s="231">
        <f t="shared" si="346"/>
        <v>0</v>
      </c>
      <c r="AK547" s="231">
        <f t="shared" si="347"/>
        <v>0</v>
      </c>
      <c r="AL547" s="231">
        <f t="shared" si="348"/>
        <v>0</v>
      </c>
      <c r="AM547" s="231">
        <f t="shared" si="349"/>
        <v>4</v>
      </c>
    </row>
    <row r="548" spans="4:39" x14ac:dyDescent="0.25">
      <c r="D548" s="231">
        <v>390</v>
      </c>
      <c r="E548" s="231" t="s">
        <v>72</v>
      </c>
      <c r="F548" s="231" t="s">
        <v>73</v>
      </c>
      <c r="G548" s="231" t="s">
        <v>74</v>
      </c>
      <c r="J548" s="231" t="s">
        <v>75</v>
      </c>
      <c r="K548" s="231" t="s">
        <v>77</v>
      </c>
      <c r="L548" s="231" t="s">
        <v>78</v>
      </c>
      <c r="M548" s="231" t="s">
        <v>515</v>
      </c>
      <c r="N548" s="231" t="s">
        <v>516</v>
      </c>
      <c r="R548" s="231" t="s">
        <v>568</v>
      </c>
      <c r="S548" s="231" t="s">
        <v>569</v>
      </c>
      <c r="T548" s="231" t="s">
        <v>574</v>
      </c>
      <c r="U548" s="231" t="s">
        <v>573</v>
      </c>
      <c r="V548" s="231" t="s">
        <v>575</v>
      </c>
      <c r="W548" s="231" t="s">
        <v>567</v>
      </c>
      <c r="X548" s="231" t="s">
        <v>566</v>
      </c>
      <c r="Y548" s="231" t="s">
        <v>565</v>
      </c>
      <c r="AA548" s="231">
        <f t="shared" si="337"/>
        <v>0</v>
      </c>
      <c r="AB548" s="231">
        <f t="shared" si="338"/>
        <v>0</v>
      </c>
      <c r="AC548" s="231">
        <f t="shared" si="339"/>
        <v>1</v>
      </c>
      <c r="AD548" s="231">
        <f t="shared" si="340"/>
        <v>0</v>
      </c>
      <c r="AE548" s="231">
        <f t="shared" si="341"/>
        <v>0</v>
      </c>
      <c r="AF548" s="231">
        <f t="shared" si="342"/>
        <v>1</v>
      </c>
      <c r="AG548" s="231">
        <f t="shared" si="343"/>
        <v>1</v>
      </c>
      <c r="AH548" s="231">
        <f t="shared" si="344"/>
        <v>0</v>
      </c>
      <c r="AI548" s="231">
        <f t="shared" si="345"/>
        <v>1</v>
      </c>
      <c r="AJ548" s="231">
        <f t="shared" si="346"/>
        <v>1</v>
      </c>
      <c r="AK548" s="231">
        <f t="shared" si="347"/>
        <v>0</v>
      </c>
      <c r="AL548" s="231">
        <f t="shared" si="348"/>
        <v>0</v>
      </c>
      <c r="AM548" s="231">
        <f t="shared" si="349"/>
        <v>5</v>
      </c>
    </row>
    <row r="549" spans="4:39" x14ac:dyDescent="0.25">
      <c r="D549" s="231">
        <v>391</v>
      </c>
      <c r="E549" s="231" t="s">
        <v>72</v>
      </c>
      <c r="F549" s="231" t="s">
        <v>73</v>
      </c>
      <c r="G549" s="231" t="s">
        <v>74</v>
      </c>
      <c r="I549" s="231" t="s">
        <v>76</v>
      </c>
      <c r="M549" s="231" t="s">
        <v>515</v>
      </c>
      <c r="N549" s="231" t="s">
        <v>516</v>
      </c>
      <c r="O549" s="232" t="s">
        <v>517</v>
      </c>
      <c r="P549" s="231" t="s">
        <v>70</v>
      </c>
      <c r="R549" s="231" t="s">
        <v>564</v>
      </c>
      <c r="S549" s="231" t="s">
        <v>565</v>
      </c>
      <c r="T549" s="231" t="s">
        <v>574</v>
      </c>
      <c r="U549" s="231" t="s">
        <v>575</v>
      </c>
      <c r="V549" s="231" t="s">
        <v>566</v>
      </c>
      <c r="W549" s="231" t="s">
        <v>573</v>
      </c>
      <c r="X549" s="231" t="s">
        <v>570</v>
      </c>
      <c r="Y549" s="231" t="s">
        <v>571</v>
      </c>
      <c r="AA549" s="231">
        <f t="shared" si="337"/>
        <v>0</v>
      </c>
      <c r="AB549" s="231">
        <f t="shared" si="338"/>
        <v>0</v>
      </c>
      <c r="AC549" s="231">
        <f t="shared" si="339"/>
        <v>1</v>
      </c>
      <c r="AD549" s="231">
        <f t="shared" si="340"/>
        <v>0</v>
      </c>
      <c r="AE549" s="231">
        <f t="shared" si="341"/>
        <v>1</v>
      </c>
      <c r="AF549" s="231">
        <f t="shared" si="342"/>
        <v>0</v>
      </c>
      <c r="AG549" s="231">
        <f t="shared" si="343"/>
        <v>0</v>
      </c>
      <c r="AH549" s="231">
        <f t="shared" si="344"/>
        <v>0</v>
      </c>
      <c r="AI549" s="231">
        <f t="shared" si="345"/>
        <v>1</v>
      </c>
      <c r="AJ549" s="231">
        <f t="shared" si="346"/>
        <v>1</v>
      </c>
      <c r="AK549" s="231">
        <f t="shared" si="347"/>
        <v>0</v>
      </c>
      <c r="AL549" s="231">
        <f t="shared" si="348"/>
        <v>1</v>
      </c>
      <c r="AM549" s="231">
        <f t="shared" si="349"/>
        <v>5</v>
      </c>
    </row>
    <row r="550" spans="4:39" x14ac:dyDescent="0.25">
      <c r="D550" s="231">
        <v>392</v>
      </c>
      <c r="E550" s="231" t="s">
        <v>72</v>
      </c>
      <c r="F550" s="231" t="s">
        <v>73</v>
      </c>
      <c r="G550" s="231" t="s">
        <v>74</v>
      </c>
      <c r="I550" s="231" t="s">
        <v>76</v>
      </c>
      <c r="L550" s="231" t="s">
        <v>78</v>
      </c>
      <c r="N550" s="231" t="s">
        <v>516</v>
      </c>
      <c r="O550" s="232" t="s">
        <v>517</v>
      </c>
      <c r="P550" s="231" t="s">
        <v>70</v>
      </c>
      <c r="R550" s="231" t="s">
        <v>564</v>
      </c>
      <c r="S550" s="231" t="s">
        <v>565</v>
      </c>
      <c r="T550" s="231" t="s">
        <v>574</v>
      </c>
      <c r="U550" s="231" t="s">
        <v>573</v>
      </c>
      <c r="V550" s="231" t="s">
        <v>575</v>
      </c>
      <c r="W550" s="231" t="s">
        <v>568</v>
      </c>
      <c r="X550" s="231" t="s">
        <v>570</v>
      </c>
      <c r="Y550" s="231" t="s">
        <v>571</v>
      </c>
      <c r="AA550" s="231">
        <f t="shared" si="337"/>
        <v>0</v>
      </c>
      <c r="AB550" s="231">
        <f t="shared" si="338"/>
        <v>0</v>
      </c>
      <c r="AC550" s="231">
        <f t="shared" si="339"/>
        <v>1</v>
      </c>
      <c r="AD550" s="231">
        <f t="shared" si="340"/>
        <v>0</v>
      </c>
      <c r="AE550" s="231">
        <f t="shared" si="341"/>
        <v>1</v>
      </c>
      <c r="AF550" s="231">
        <f t="shared" si="342"/>
        <v>0</v>
      </c>
      <c r="AG550" s="231">
        <f t="shared" si="343"/>
        <v>0</v>
      </c>
      <c r="AH550" s="231">
        <f t="shared" si="344"/>
        <v>0</v>
      </c>
      <c r="AI550" s="231">
        <f t="shared" si="345"/>
        <v>0</v>
      </c>
      <c r="AJ550" s="231">
        <f t="shared" si="346"/>
        <v>1</v>
      </c>
      <c r="AK550" s="231">
        <f t="shared" si="347"/>
        <v>0</v>
      </c>
      <c r="AL550" s="231">
        <f t="shared" si="348"/>
        <v>1</v>
      </c>
      <c r="AM550" s="231">
        <f t="shared" si="349"/>
        <v>4</v>
      </c>
    </row>
    <row r="551" spans="4:39" x14ac:dyDescent="0.25">
      <c r="D551" s="231">
        <v>393</v>
      </c>
      <c r="E551" s="231" t="s">
        <v>72</v>
      </c>
      <c r="F551" s="231" t="s">
        <v>73</v>
      </c>
      <c r="G551" s="231" t="s">
        <v>74</v>
      </c>
      <c r="I551" s="231" t="s">
        <v>76</v>
      </c>
      <c r="L551" s="231" t="s">
        <v>78</v>
      </c>
      <c r="M551" s="231" t="s">
        <v>515</v>
      </c>
      <c r="O551" s="232" t="s">
        <v>517</v>
      </c>
      <c r="P551" s="231" t="s">
        <v>70</v>
      </c>
      <c r="R551" s="231" t="s">
        <v>564</v>
      </c>
      <c r="S551" s="231" t="s">
        <v>566</v>
      </c>
      <c r="T551" s="231" t="s">
        <v>574</v>
      </c>
      <c r="U551" s="231" t="s">
        <v>573</v>
      </c>
      <c r="V551" s="231" t="s">
        <v>575</v>
      </c>
      <c r="W551" s="231" t="s">
        <v>568</v>
      </c>
      <c r="X551" s="231" t="s">
        <v>570</v>
      </c>
      <c r="Y551" s="231" t="s">
        <v>571</v>
      </c>
      <c r="AA551" s="231">
        <f t="shared" si="337"/>
        <v>0</v>
      </c>
      <c r="AB551" s="231">
        <f t="shared" si="338"/>
        <v>0</v>
      </c>
      <c r="AC551" s="231">
        <f t="shared" si="339"/>
        <v>1</v>
      </c>
      <c r="AD551" s="231">
        <f t="shared" si="340"/>
        <v>0</v>
      </c>
      <c r="AE551" s="231">
        <f t="shared" si="341"/>
        <v>1</v>
      </c>
      <c r="AF551" s="231">
        <f t="shared" si="342"/>
        <v>0</v>
      </c>
      <c r="AG551" s="231">
        <f t="shared" si="343"/>
        <v>0</v>
      </c>
      <c r="AH551" s="231">
        <f t="shared" si="344"/>
        <v>0</v>
      </c>
      <c r="AI551" s="231">
        <f t="shared" si="345"/>
        <v>1</v>
      </c>
      <c r="AJ551" s="231">
        <f t="shared" si="346"/>
        <v>0</v>
      </c>
      <c r="AK551" s="231">
        <f t="shared" si="347"/>
        <v>0</v>
      </c>
      <c r="AL551" s="231">
        <f t="shared" si="348"/>
        <v>1</v>
      </c>
      <c r="AM551" s="231">
        <f t="shared" si="349"/>
        <v>4</v>
      </c>
    </row>
    <row r="552" spans="4:39" x14ac:dyDescent="0.25">
      <c r="D552" s="231">
        <v>394</v>
      </c>
      <c r="E552" s="231" t="s">
        <v>72</v>
      </c>
      <c r="F552" s="231" t="s">
        <v>73</v>
      </c>
      <c r="G552" s="231" t="s">
        <v>74</v>
      </c>
      <c r="I552" s="231" t="s">
        <v>76</v>
      </c>
      <c r="L552" s="231" t="s">
        <v>78</v>
      </c>
      <c r="M552" s="231" t="s">
        <v>515</v>
      </c>
      <c r="N552" s="231" t="s">
        <v>516</v>
      </c>
      <c r="P552" s="231" t="s">
        <v>70</v>
      </c>
      <c r="R552" s="231" t="s">
        <v>564</v>
      </c>
      <c r="S552" s="231" t="s">
        <v>565</v>
      </c>
      <c r="T552" s="231" t="s">
        <v>574</v>
      </c>
      <c r="U552" s="231" t="s">
        <v>573</v>
      </c>
      <c r="V552" s="231" t="s">
        <v>575</v>
      </c>
      <c r="W552" s="231" t="s">
        <v>568</v>
      </c>
      <c r="X552" s="231" t="s">
        <v>570</v>
      </c>
      <c r="Y552" s="231" t="s">
        <v>566</v>
      </c>
      <c r="AA552" s="231">
        <f t="shared" si="337"/>
        <v>0</v>
      </c>
      <c r="AB552" s="231">
        <f t="shared" si="338"/>
        <v>0</v>
      </c>
      <c r="AC552" s="231">
        <f t="shared" si="339"/>
        <v>1</v>
      </c>
      <c r="AD552" s="231">
        <f t="shared" si="340"/>
        <v>0</v>
      </c>
      <c r="AE552" s="231">
        <f t="shared" si="341"/>
        <v>1</v>
      </c>
      <c r="AF552" s="231">
        <f t="shared" si="342"/>
        <v>0</v>
      </c>
      <c r="AG552" s="231">
        <f t="shared" si="343"/>
        <v>0</v>
      </c>
      <c r="AH552" s="231">
        <f t="shared" si="344"/>
        <v>0</v>
      </c>
      <c r="AI552" s="231">
        <f t="shared" si="345"/>
        <v>1</v>
      </c>
      <c r="AJ552" s="231">
        <f t="shared" si="346"/>
        <v>1</v>
      </c>
      <c r="AK552" s="231">
        <f t="shared" si="347"/>
        <v>0</v>
      </c>
      <c r="AL552" s="231">
        <f t="shared" si="348"/>
        <v>1</v>
      </c>
      <c r="AM552" s="231">
        <f t="shared" si="349"/>
        <v>5</v>
      </c>
    </row>
    <row r="553" spans="4:39" x14ac:dyDescent="0.25">
      <c r="D553" s="231">
        <v>395</v>
      </c>
      <c r="E553" s="231" t="s">
        <v>72</v>
      </c>
      <c r="F553" s="231" t="s">
        <v>73</v>
      </c>
      <c r="G553" s="231" t="s">
        <v>74</v>
      </c>
      <c r="I553" s="231" t="s">
        <v>76</v>
      </c>
      <c r="L553" s="231" t="s">
        <v>78</v>
      </c>
      <c r="M553" s="231" t="s">
        <v>515</v>
      </c>
      <c r="N553" s="231" t="s">
        <v>516</v>
      </c>
      <c r="O553" s="232" t="s">
        <v>517</v>
      </c>
      <c r="R553" s="231" t="s">
        <v>564</v>
      </c>
      <c r="S553" s="231" t="s">
        <v>565</v>
      </c>
      <c r="T553" s="231" t="s">
        <v>574</v>
      </c>
      <c r="U553" s="231" t="s">
        <v>573</v>
      </c>
      <c r="V553" s="231" t="s">
        <v>575</v>
      </c>
      <c r="W553" s="231" t="s">
        <v>568</v>
      </c>
      <c r="X553" s="231" t="s">
        <v>566</v>
      </c>
      <c r="Y553" s="231" t="s">
        <v>571</v>
      </c>
      <c r="AA553" s="231">
        <f t="shared" si="337"/>
        <v>0</v>
      </c>
      <c r="AB553" s="231">
        <f t="shared" si="338"/>
        <v>0</v>
      </c>
      <c r="AC553" s="231">
        <f t="shared" si="339"/>
        <v>1</v>
      </c>
      <c r="AD553" s="231">
        <f t="shared" si="340"/>
        <v>0</v>
      </c>
      <c r="AE553" s="231">
        <f t="shared" si="341"/>
        <v>1</v>
      </c>
      <c r="AF553" s="231">
        <f t="shared" si="342"/>
        <v>0</v>
      </c>
      <c r="AG553" s="231">
        <f t="shared" si="343"/>
        <v>0</v>
      </c>
      <c r="AH553" s="231">
        <f t="shared" si="344"/>
        <v>0</v>
      </c>
      <c r="AI553" s="231">
        <f t="shared" si="345"/>
        <v>1</v>
      </c>
      <c r="AJ553" s="231">
        <f t="shared" si="346"/>
        <v>1</v>
      </c>
      <c r="AK553" s="231">
        <f t="shared" si="347"/>
        <v>0</v>
      </c>
      <c r="AL553" s="231">
        <f t="shared" si="348"/>
        <v>0</v>
      </c>
      <c r="AM553" s="231">
        <f t="shared" si="349"/>
        <v>4</v>
      </c>
    </row>
    <row r="554" spans="4:39" x14ac:dyDescent="0.25">
      <c r="D554" s="231">
        <v>396</v>
      </c>
      <c r="E554" s="231" t="s">
        <v>72</v>
      </c>
      <c r="F554" s="231" t="s">
        <v>73</v>
      </c>
      <c r="G554" s="231" t="s">
        <v>74</v>
      </c>
      <c r="I554" s="231" t="s">
        <v>76</v>
      </c>
      <c r="K554" s="231" t="s">
        <v>77</v>
      </c>
      <c r="N554" s="231" t="s">
        <v>516</v>
      </c>
      <c r="O554" s="232" t="s">
        <v>517</v>
      </c>
      <c r="P554" s="231" t="s">
        <v>70</v>
      </c>
      <c r="R554" s="231" t="s">
        <v>564</v>
      </c>
      <c r="S554" s="231" t="s">
        <v>565</v>
      </c>
      <c r="T554" s="231" t="s">
        <v>574</v>
      </c>
      <c r="U554" s="231" t="s">
        <v>573</v>
      </c>
      <c r="V554" s="231" t="s">
        <v>575</v>
      </c>
      <c r="W554" s="231" t="s">
        <v>569</v>
      </c>
      <c r="X554" s="231" t="s">
        <v>570</v>
      </c>
      <c r="Y554" s="231" t="s">
        <v>571</v>
      </c>
      <c r="AA554" s="231">
        <f t="shared" si="337"/>
        <v>0</v>
      </c>
      <c r="AB554" s="231">
        <f t="shared" si="338"/>
        <v>0</v>
      </c>
      <c r="AC554" s="231">
        <f t="shared" si="339"/>
        <v>1</v>
      </c>
      <c r="AD554" s="231">
        <f t="shared" si="340"/>
        <v>0</v>
      </c>
      <c r="AE554" s="231">
        <f t="shared" si="341"/>
        <v>1</v>
      </c>
      <c r="AF554" s="231">
        <f t="shared" si="342"/>
        <v>0</v>
      </c>
      <c r="AG554" s="231">
        <f t="shared" si="343"/>
        <v>1</v>
      </c>
      <c r="AH554" s="231">
        <f t="shared" si="344"/>
        <v>0</v>
      </c>
      <c r="AI554" s="231">
        <f t="shared" si="345"/>
        <v>0</v>
      </c>
      <c r="AJ554" s="231">
        <f t="shared" si="346"/>
        <v>1</v>
      </c>
      <c r="AK554" s="231">
        <f t="shared" si="347"/>
        <v>0</v>
      </c>
      <c r="AL554" s="231">
        <f t="shared" si="348"/>
        <v>1</v>
      </c>
      <c r="AM554" s="231">
        <f t="shared" si="349"/>
        <v>5</v>
      </c>
    </row>
    <row r="555" spans="4:39" x14ac:dyDescent="0.25">
      <c r="D555" s="231">
        <v>397</v>
      </c>
      <c r="E555" s="231" t="s">
        <v>72</v>
      </c>
      <c r="F555" s="231" t="s">
        <v>73</v>
      </c>
      <c r="G555" s="231" t="s">
        <v>74</v>
      </c>
      <c r="I555" s="231" t="s">
        <v>76</v>
      </c>
      <c r="K555" s="231" t="s">
        <v>77</v>
      </c>
      <c r="M555" s="231" t="s">
        <v>515</v>
      </c>
      <c r="O555" s="232" t="s">
        <v>517</v>
      </c>
      <c r="P555" s="231" t="s">
        <v>70</v>
      </c>
      <c r="R555" s="231" t="s">
        <v>564</v>
      </c>
      <c r="S555" s="231" t="s">
        <v>569</v>
      </c>
      <c r="T555" s="231" t="s">
        <v>574</v>
      </c>
      <c r="U555" s="231" t="s">
        <v>575</v>
      </c>
      <c r="V555" s="231" t="s">
        <v>566</v>
      </c>
      <c r="W555" s="231" t="s">
        <v>573</v>
      </c>
      <c r="X555" s="231" t="s">
        <v>570</v>
      </c>
      <c r="Y555" s="231" t="s">
        <v>571</v>
      </c>
      <c r="AA555" s="231">
        <f t="shared" si="337"/>
        <v>0</v>
      </c>
      <c r="AB555" s="231">
        <f t="shared" si="338"/>
        <v>0</v>
      </c>
      <c r="AC555" s="231">
        <f t="shared" si="339"/>
        <v>1</v>
      </c>
      <c r="AD555" s="231">
        <f t="shared" si="340"/>
        <v>0</v>
      </c>
      <c r="AE555" s="231">
        <f t="shared" si="341"/>
        <v>1</v>
      </c>
      <c r="AF555" s="231">
        <f t="shared" si="342"/>
        <v>0</v>
      </c>
      <c r="AG555" s="231">
        <f t="shared" si="343"/>
        <v>1</v>
      </c>
      <c r="AH555" s="231">
        <f t="shared" si="344"/>
        <v>0</v>
      </c>
      <c r="AI555" s="231">
        <f t="shared" si="345"/>
        <v>1</v>
      </c>
      <c r="AJ555" s="231">
        <f t="shared" si="346"/>
        <v>0</v>
      </c>
      <c r="AK555" s="231">
        <f t="shared" si="347"/>
        <v>0</v>
      </c>
      <c r="AL555" s="231">
        <f t="shared" si="348"/>
        <v>1</v>
      </c>
      <c r="AM555" s="231">
        <f t="shared" si="349"/>
        <v>5</v>
      </c>
    </row>
    <row r="556" spans="4:39" x14ac:dyDescent="0.25">
      <c r="D556" s="231">
        <v>398</v>
      </c>
      <c r="E556" s="231" t="s">
        <v>72</v>
      </c>
      <c r="F556" s="231" t="s">
        <v>73</v>
      </c>
      <c r="G556" s="231" t="s">
        <v>74</v>
      </c>
      <c r="I556" s="231" t="s">
        <v>76</v>
      </c>
      <c r="K556" s="231" t="s">
        <v>77</v>
      </c>
      <c r="M556" s="231" t="s">
        <v>515</v>
      </c>
      <c r="N556" s="231" t="s">
        <v>516</v>
      </c>
      <c r="P556" s="231" t="s">
        <v>70</v>
      </c>
      <c r="R556" s="231" t="s">
        <v>564</v>
      </c>
      <c r="S556" s="231" t="s">
        <v>565</v>
      </c>
      <c r="T556" s="231" t="s">
        <v>574</v>
      </c>
      <c r="U556" s="231" t="s">
        <v>573</v>
      </c>
      <c r="V556" s="231" t="s">
        <v>575</v>
      </c>
      <c r="W556" s="231" t="s">
        <v>569</v>
      </c>
      <c r="X556" s="231" t="s">
        <v>570</v>
      </c>
      <c r="Y556" s="231" t="s">
        <v>566</v>
      </c>
      <c r="AA556" s="231">
        <f t="shared" si="337"/>
        <v>0</v>
      </c>
      <c r="AB556" s="231">
        <f t="shared" si="338"/>
        <v>0</v>
      </c>
      <c r="AC556" s="231">
        <f t="shared" si="339"/>
        <v>1</v>
      </c>
      <c r="AD556" s="231">
        <f t="shared" si="340"/>
        <v>0</v>
      </c>
      <c r="AE556" s="231">
        <f t="shared" si="341"/>
        <v>1</v>
      </c>
      <c r="AF556" s="231">
        <f t="shared" si="342"/>
        <v>0</v>
      </c>
      <c r="AG556" s="231">
        <f t="shared" si="343"/>
        <v>1</v>
      </c>
      <c r="AH556" s="231">
        <f t="shared" si="344"/>
        <v>0</v>
      </c>
      <c r="AI556" s="231">
        <f t="shared" si="345"/>
        <v>1</v>
      </c>
      <c r="AJ556" s="231">
        <f t="shared" si="346"/>
        <v>1</v>
      </c>
      <c r="AK556" s="231">
        <f t="shared" si="347"/>
        <v>0</v>
      </c>
      <c r="AL556" s="231">
        <f t="shared" si="348"/>
        <v>1</v>
      </c>
      <c r="AM556" s="231">
        <f t="shared" si="349"/>
        <v>6</v>
      </c>
    </row>
    <row r="557" spans="4:39" x14ac:dyDescent="0.25">
      <c r="D557" s="231">
        <v>399</v>
      </c>
      <c r="E557" s="231" t="s">
        <v>72</v>
      </c>
      <c r="F557" s="231" t="s">
        <v>73</v>
      </c>
      <c r="G557" s="231" t="s">
        <v>74</v>
      </c>
      <c r="I557" s="231" t="s">
        <v>76</v>
      </c>
      <c r="K557" s="231" t="s">
        <v>77</v>
      </c>
      <c r="M557" s="231" t="s">
        <v>515</v>
      </c>
      <c r="N557" s="231" t="s">
        <v>516</v>
      </c>
      <c r="O557" s="232" t="s">
        <v>517</v>
      </c>
      <c r="R557" s="231" t="s">
        <v>564</v>
      </c>
      <c r="S557" s="231" t="s">
        <v>565</v>
      </c>
      <c r="T557" s="231" t="s">
        <v>574</v>
      </c>
      <c r="U557" s="231" t="s">
        <v>573</v>
      </c>
      <c r="V557" s="231" t="s">
        <v>575</v>
      </c>
      <c r="W557" s="231" t="s">
        <v>569</v>
      </c>
      <c r="X557" s="231" t="s">
        <v>566</v>
      </c>
      <c r="Y557" s="231" t="s">
        <v>571</v>
      </c>
      <c r="AA557" s="231">
        <f t="shared" si="337"/>
        <v>0</v>
      </c>
      <c r="AB557" s="231">
        <f t="shared" si="338"/>
        <v>0</v>
      </c>
      <c r="AC557" s="231">
        <f t="shared" si="339"/>
        <v>1</v>
      </c>
      <c r="AD557" s="231">
        <f t="shared" si="340"/>
        <v>0</v>
      </c>
      <c r="AE557" s="231">
        <f t="shared" si="341"/>
        <v>1</v>
      </c>
      <c r="AF557" s="231">
        <f t="shared" si="342"/>
        <v>0</v>
      </c>
      <c r="AG557" s="231">
        <f t="shared" si="343"/>
        <v>1</v>
      </c>
      <c r="AH557" s="231">
        <f t="shared" si="344"/>
        <v>0</v>
      </c>
      <c r="AI557" s="231">
        <f t="shared" si="345"/>
        <v>1</v>
      </c>
      <c r="AJ557" s="231">
        <f t="shared" si="346"/>
        <v>1</v>
      </c>
      <c r="AK557" s="231">
        <f t="shared" si="347"/>
        <v>0</v>
      </c>
      <c r="AL557" s="231">
        <f t="shared" si="348"/>
        <v>0</v>
      </c>
      <c r="AM557" s="231">
        <f t="shared" si="349"/>
        <v>5</v>
      </c>
    </row>
    <row r="558" spans="4:39" x14ac:dyDescent="0.25">
      <c r="D558" s="231">
        <v>400</v>
      </c>
      <c r="E558" s="231" t="s">
        <v>72</v>
      </c>
      <c r="F558" s="231" t="s">
        <v>73</v>
      </c>
      <c r="G558" s="231" t="s">
        <v>74</v>
      </c>
      <c r="I558" s="231" t="s">
        <v>76</v>
      </c>
      <c r="K558" s="231" t="s">
        <v>77</v>
      </c>
      <c r="L558" s="231" t="s">
        <v>78</v>
      </c>
      <c r="O558" s="232" t="s">
        <v>517</v>
      </c>
      <c r="P558" s="231" t="s">
        <v>70</v>
      </c>
      <c r="R558" s="231" t="s">
        <v>564</v>
      </c>
      <c r="S558" s="231" t="s">
        <v>569</v>
      </c>
      <c r="T558" s="231" t="s">
        <v>574</v>
      </c>
      <c r="U558" s="231" t="s">
        <v>573</v>
      </c>
      <c r="V558" s="231" t="s">
        <v>575</v>
      </c>
      <c r="W558" s="231" t="s">
        <v>568</v>
      </c>
      <c r="X558" s="231" t="s">
        <v>570</v>
      </c>
      <c r="Y558" s="231" t="s">
        <v>571</v>
      </c>
      <c r="AA558" s="231">
        <f t="shared" si="337"/>
        <v>0</v>
      </c>
      <c r="AB558" s="231">
        <f t="shared" si="338"/>
        <v>0</v>
      </c>
      <c r="AC558" s="231">
        <f t="shared" si="339"/>
        <v>1</v>
      </c>
      <c r="AD558" s="231">
        <f t="shared" si="340"/>
        <v>0</v>
      </c>
      <c r="AE558" s="231">
        <f t="shared" si="341"/>
        <v>1</v>
      </c>
      <c r="AF558" s="231">
        <f t="shared" si="342"/>
        <v>0</v>
      </c>
      <c r="AG558" s="231">
        <f t="shared" si="343"/>
        <v>1</v>
      </c>
      <c r="AH558" s="231">
        <f t="shared" si="344"/>
        <v>0</v>
      </c>
      <c r="AI558" s="231">
        <f t="shared" si="345"/>
        <v>0</v>
      </c>
      <c r="AJ558" s="231">
        <f t="shared" si="346"/>
        <v>0</v>
      </c>
      <c r="AK558" s="231">
        <f t="shared" si="347"/>
        <v>0</v>
      </c>
      <c r="AL558" s="231">
        <f t="shared" si="348"/>
        <v>1</v>
      </c>
      <c r="AM558" s="231">
        <f t="shared" si="349"/>
        <v>4</v>
      </c>
    </row>
    <row r="559" spans="4:39" x14ac:dyDescent="0.25">
      <c r="D559" s="231">
        <v>401</v>
      </c>
      <c r="E559" s="231" t="s">
        <v>72</v>
      </c>
      <c r="F559" s="231" t="s">
        <v>73</v>
      </c>
      <c r="G559" s="231" t="s">
        <v>74</v>
      </c>
      <c r="I559" s="231" t="s">
        <v>76</v>
      </c>
      <c r="K559" s="231" t="s">
        <v>77</v>
      </c>
      <c r="L559" s="231" t="s">
        <v>78</v>
      </c>
      <c r="N559" s="231" t="s">
        <v>516</v>
      </c>
      <c r="P559" s="231" t="s">
        <v>70</v>
      </c>
      <c r="R559" s="231" t="s">
        <v>568</v>
      </c>
      <c r="S559" s="231" t="s">
        <v>565</v>
      </c>
      <c r="T559" s="231" t="s">
        <v>574</v>
      </c>
      <c r="U559" s="231" t="s">
        <v>573</v>
      </c>
      <c r="V559" s="231" t="s">
        <v>575</v>
      </c>
      <c r="W559" s="231" t="s">
        <v>569</v>
      </c>
      <c r="X559" s="231" t="s">
        <v>570</v>
      </c>
      <c r="Y559" s="231" t="s">
        <v>564</v>
      </c>
      <c r="AA559" s="231">
        <f t="shared" si="337"/>
        <v>0</v>
      </c>
      <c r="AB559" s="231">
        <f t="shared" si="338"/>
        <v>0</v>
      </c>
      <c r="AC559" s="231">
        <f t="shared" si="339"/>
        <v>1</v>
      </c>
      <c r="AD559" s="231">
        <f t="shared" si="340"/>
        <v>0</v>
      </c>
      <c r="AE559" s="231">
        <f t="shared" si="341"/>
        <v>1</v>
      </c>
      <c r="AF559" s="231">
        <f t="shared" si="342"/>
        <v>0</v>
      </c>
      <c r="AG559" s="231">
        <f t="shared" si="343"/>
        <v>1</v>
      </c>
      <c r="AH559" s="231">
        <f t="shared" si="344"/>
        <v>0</v>
      </c>
      <c r="AI559" s="231">
        <f t="shared" si="345"/>
        <v>0</v>
      </c>
      <c r="AJ559" s="231">
        <f t="shared" si="346"/>
        <v>1</v>
      </c>
      <c r="AK559" s="231">
        <f t="shared" si="347"/>
        <v>0</v>
      </c>
      <c r="AL559" s="231">
        <f t="shared" si="348"/>
        <v>1</v>
      </c>
      <c r="AM559" s="231">
        <f t="shared" si="349"/>
        <v>5</v>
      </c>
    </row>
    <row r="560" spans="4:39" x14ac:dyDescent="0.25">
      <c r="D560" s="231">
        <v>402</v>
      </c>
      <c r="E560" s="231" t="s">
        <v>72</v>
      </c>
      <c r="F560" s="231" t="s">
        <v>73</v>
      </c>
      <c r="G560" s="231" t="s">
        <v>74</v>
      </c>
      <c r="I560" s="231" t="s">
        <v>76</v>
      </c>
      <c r="K560" s="231" t="s">
        <v>77</v>
      </c>
      <c r="L560" s="231" t="s">
        <v>78</v>
      </c>
      <c r="N560" s="231" t="s">
        <v>516</v>
      </c>
      <c r="O560" s="232" t="s">
        <v>517</v>
      </c>
      <c r="R560" s="231" t="s">
        <v>568</v>
      </c>
      <c r="S560" s="231" t="s">
        <v>565</v>
      </c>
      <c r="T560" s="231" t="s">
        <v>574</v>
      </c>
      <c r="U560" s="231" t="s">
        <v>573</v>
      </c>
      <c r="V560" s="231" t="s">
        <v>575</v>
      </c>
      <c r="W560" s="231" t="s">
        <v>569</v>
      </c>
      <c r="X560" s="231" t="s">
        <v>564</v>
      </c>
      <c r="Y560" s="231" t="s">
        <v>571</v>
      </c>
      <c r="AA560" s="231">
        <f t="shared" si="337"/>
        <v>0</v>
      </c>
      <c r="AB560" s="231">
        <f t="shared" si="338"/>
        <v>0</v>
      </c>
      <c r="AC560" s="231">
        <f t="shared" si="339"/>
        <v>1</v>
      </c>
      <c r="AD560" s="231">
        <f t="shared" si="340"/>
        <v>0</v>
      </c>
      <c r="AE560" s="231">
        <f t="shared" si="341"/>
        <v>1</v>
      </c>
      <c r="AF560" s="231">
        <f t="shared" si="342"/>
        <v>0</v>
      </c>
      <c r="AG560" s="231">
        <f t="shared" si="343"/>
        <v>1</v>
      </c>
      <c r="AH560" s="231">
        <f t="shared" si="344"/>
        <v>0</v>
      </c>
      <c r="AI560" s="231">
        <f t="shared" si="345"/>
        <v>0</v>
      </c>
      <c r="AJ560" s="231">
        <f t="shared" si="346"/>
        <v>1</v>
      </c>
      <c r="AK560" s="231">
        <f t="shared" si="347"/>
        <v>0</v>
      </c>
      <c r="AL560" s="231">
        <f t="shared" si="348"/>
        <v>0</v>
      </c>
      <c r="AM560" s="231">
        <f t="shared" si="349"/>
        <v>4</v>
      </c>
    </row>
    <row r="561" spans="4:39" x14ac:dyDescent="0.25">
      <c r="D561" s="231">
        <v>403</v>
      </c>
      <c r="E561" s="231" t="s">
        <v>72</v>
      </c>
      <c r="F561" s="231" t="s">
        <v>73</v>
      </c>
      <c r="G561" s="231" t="s">
        <v>74</v>
      </c>
      <c r="I561" s="231" t="s">
        <v>76</v>
      </c>
      <c r="K561" s="231" t="s">
        <v>77</v>
      </c>
      <c r="L561" s="231" t="s">
        <v>78</v>
      </c>
      <c r="M561" s="231" t="s">
        <v>515</v>
      </c>
      <c r="P561" s="231" t="s">
        <v>70</v>
      </c>
      <c r="R561" s="231" t="s">
        <v>564</v>
      </c>
      <c r="S561" s="231" t="s">
        <v>569</v>
      </c>
      <c r="T561" s="231" t="s">
        <v>574</v>
      </c>
      <c r="U561" s="231" t="s">
        <v>573</v>
      </c>
      <c r="V561" s="231" t="s">
        <v>575</v>
      </c>
      <c r="W561" s="231" t="s">
        <v>568</v>
      </c>
      <c r="X561" s="231" t="s">
        <v>570</v>
      </c>
      <c r="Y561" s="231" t="s">
        <v>566</v>
      </c>
      <c r="AA561" s="231">
        <f t="shared" si="337"/>
        <v>0</v>
      </c>
      <c r="AB561" s="231">
        <f t="shared" si="338"/>
        <v>0</v>
      </c>
      <c r="AC561" s="231">
        <f t="shared" si="339"/>
        <v>1</v>
      </c>
      <c r="AD561" s="231">
        <f t="shared" si="340"/>
        <v>0</v>
      </c>
      <c r="AE561" s="231">
        <f t="shared" si="341"/>
        <v>1</v>
      </c>
      <c r="AF561" s="231">
        <f t="shared" si="342"/>
        <v>0</v>
      </c>
      <c r="AG561" s="231">
        <f t="shared" si="343"/>
        <v>1</v>
      </c>
      <c r="AH561" s="231">
        <f t="shared" si="344"/>
        <v>0</v>
      </c>
      <c r="AI561" s="231">
        <f t="shared" si="345"/>
        <v>1</v>
      </c>
      <c r="AJ561" s="231">
        <f t="shared" si="346"/>
        <v>0</v>
      </c>
      <c r="AK561" s="231">
        <f t="shared" si="347"/>
        <v>0</v>
      </c>
      <c r="AL561" s="231">
        <f t="shared" si="348"/>
        <v>1</v>
      </c>
      <c r="AM561" s="231">
        <f t="shared" si="349"/>
        <v>5</v>
      </c>
    </row>
    <row r="562" spans="4:39" x14ac:dyDescent="0.25">
      <c r="D562" s="231">
        <v>404</v>
      </c>
      <c r="E562" s="231" t="s">
        <v>72</v>
      </c>
      <c r="F562" s="231" t="s">
        <v>73</v>
      </c>
      <c r="G562" s="231" t="s">
        <v>74</v>
      </c>
      <c r="I562" s="231" t="s">
        <v>76</v>
      </c>
      <c r="K562" s="231" t="s">
        <v>77</v>
      </c>
      <c r="L562" s="231" t="s">
        <v>78</v>
      </c>
      <c r="M562" s="231" t="s">
        <v>515</v>
      </c>
      <c r="O562" s="232" t="s">
        <v>517</v>
      </c>
      <c r="R562" s="231" t="s">
        <v>564</v>
      </c>
      <c r="S562" s="231" t="s">
        <v>569</v>
      </c>
      <c r="T562" s="231" t="s">
        <v>574</v>
      </c>
      <c r="U562" s="231" t="s">
        <v>573</v>
      </c>
      <c r="V562" s="231" t="s">
        <v>575</v>
      </c>
      <c r="W562" s="231" t="s">
        <v>568</v>
      </c>
      <c r="X562" s="231" t="s">
        <v>566</v>
      </c>
      <c r="Y562" s="231" t="s">
        <v>571</v>
      </c>
      <c r="AA562" s="231">
        <f t="shared" si="337"/>
        <v>0</v>
      </c>
      <c r="AB562" s="231">
        <f t="shared" si="338"/>
        <v>0</v>
      </c>
      <c r="AC562" s="231">
        <f t="shared" si="339"/>
        <v>1</v>
      </c>
      <c r="AD562" s="231">
        <f t="shared" si="340"/>
        <v>0</v>
      </c>
      <c r="AE562" s="231">
        <f t="shared" si="341"/>
        <v>1</v>
      </c>
      <c r="AF562" s="231">
        <f t="shared" si="342"/>
        <v>0</v>
      </c>
      <c r="AG562" s="231">
        <f t="shared" si="343"/>
        <v>1</v>
      </c>
      <c r="AH562" s="231">
        <f t="shared" si="344"/>
        <v>0</v>
      </c>
      <c r="AI562" s="231">
        <f t="shared" si="345"/>
        <v>1</v>
      </c>
      <c r="AJ562" s="231">
        <f t="shared" si="346"/>
        <v>0</v>
      </c>
      <c r="AK562" s="231">
        <f t="shared" si="347"/>
        <v>0</v>
      </c>
      <c r="AL562" s="231">
        <f t="shared" si="348"/>
        <v>0</v>
      </c>
      <c r="AM562" s="231">
        <f t="shared" si="349"/>
        <v>4</v>
      </c>
    </row>
    <row r="563" spans="4:39" x14ac:dyDescent="0.25">
      <c r="D563" s="231">
        <v>405</v>
      </c>
      <c r="E563" s="231" t="s">
        <v>72</v>
      </c>
      <c r="F563" s="231" t="s">
        <v>73</v>
      </c>
      <c r="G563" s="231" t="s">
        <v>74</v>
      </c>
      <c r="I563" s="231" t="s">
        <v>76</v>
      </c>
      <c r="K563" s="231" t="s">
        <v>77</v>
      </c>
      <c r="L563" s="231" t="s">
        <v>78</v>
      </c>
      <c r="M563" s="231" t="s">
        <v>515</v>
      </c>
      <c r="N563" s="231" t="s">
        <v>516</v>
      </c>
      <c r="R563" s="231" t="s">
        <v>568</v>
      </c>
      <c r="S563" s="231" t="s">
        <v>565</v>
      </c>
      <c r="T563" s="231" t="s">
        <v>574</v>
      </c>
      <c r="U563" s="231" t="s">
        <v>573</v>
      </c>
      <c r="V563" s="231" t="s">
        <v>575</v>
      </c>
      <c r="W563" s="231" t="s">
        <v>569</v>
      </c>
      <c r="X563" s="231" t="s">
        <v>564</v>
      </c>
      <c r="Y563" s="231" t="s">
        <v>566</v>
      </c>
      <c r="AA563" s="231">
        <f t="shared" si="337"/>
        <v>0</v>
      </c>
      <c r="AB563" s="231">
        <f t="shared" si="338"/>
        <v>0</v>
      </c>
      <c r="AC563" s="231">
        <f t="shared" si="339"/>
        <v>1</v>
      </c>
      <c r="AD563" s="231">
        <f t="shared" si="340"/>
        <v>0</v>
      </c>
      <c r="AE563" s="231">
        <f t="shared" si="341"/>
        <v>1</v>
      </c>
      <c r="AF563" s="231">
        <f t="shared" si="342"/>
        <v>0</v>
      </c>
      <c r="AG563" s="231">
        <f t="shared" si="343"/>
        <v>1</v>
      </c>
      <c r="AH563" s="231">
        <f t="shared" si="344"/>
        <v>0</v>
      </c>
      <c r="AI563" s="231">
        <f t="shared" si="345"/>
        <v>1</v>
      </c>
      <c r="AJ563" s="231">
        <f t="shared" si="346"/>
        <v>1</v>
      </c>
      <c r="AK563" s="231">
        <f t="shared" si="347"/>
        <v>0</v>
      </c>
      <c r="AL563" s="231">
        <f t="shared" si="348"/>
        <v>0</v>
      </c>
      <c r="AM563" s="231">
        <f t="shared" si="349"/>
        <v>5</v>
      </c>
    </row>
    <row r="564" spans="4:39" x14ac:dyDescent="0.25">
      <c r="D564" s="231">
        <v>406</v>
      </c>
      <c r="E564" s="231" t="s">
        <v>72</v>
      </c>
      <c r="F564" s="231" t="s">
        <v>73</v>
      </c>
      <c r="G564" s="231" t="s">
        <v>74</v>
      </c>
      <c r="I564" s="231" t="s">
        <v>76</v>
      </c>
      <c r="J564" s="231" t="s">
        <v>75</v>
      </c>
      <c r="N564" s="231" t="s">
        <v>516</v>
      </c>
      <c r="O564" s="232" t="s">
        <v>517</v>
      </c>
      <c r="P564" s="231" t="s">
        <v>70</v>
      </c>
      <c r="R564" s="231" t="s">
        <v>564</v>
      </c>
      <c r="S564" s="231" t="s">
        <v>565</v>
      </c>
      <c r="T564" s="231" t="s">
        <v>574</v>
      </c>
      <c r="U564" s="231" t="s">
        <v>573</v>
      </c>
      <c r="V564" s="231" t="s">
        <v>575</v>
      </c>
      <c r="W564" s="231" t="s">
        <v>567</v>
      </c>
      <c r="X564" s="231" t="s">
        <v>570</v>
      </c>
      <c r="Y564" s="231" t="s">
        <v>571</v>
      </c>
      <c r="AA564" s="231">
        <f t="shared" si="337"/>
        <v>0</v>
      </c>
      <c r="AB564" s="231">
        <f t="shared" si="338"/>
        <v>0</v>
      </c>
      <c r="AC564" s="231">
        <f t="shared" si="339"/>
        <v>1</v>
      </c>
      <c r="AD564" s="231">
        <f t="shared" si="340"/>
        <v>0</v>
      </c>
      <c r="AE564" s="231">
        <f t="shared" si="341"/>
        <v>1</v>
      </c>
      <c r="AF564" s="231">
        <f t="shared" si="342"/>
        <v>1</v>
      </c>
      <c r="AG564" s="231">
        <f t="shared" si="343"/>
        <v>0</v>
      </c>
      <c r="AH564" s="231">
        <f t="shared" si="344"/>
        <v>0</v>
      </c>
      <c r="AI564" s="231">
        <f t="shared" si="345"/>
        <v>0</v>
      </c>
      <c r="AJ564" s="231">
        <f t="shared" si="346"/>
        <v>1</v>
      </c>
      <c r="AK564" s="231">
        <f t="shared" si="347"/>
        <v>0</v>
      </c>
      <c r="AL564" s="231">
        <f t="shared" si="348"/>
        <v>1</v>
      </c>
      <c r="AM564" s="231">
        <f t="shared" si="349"/>
        <v>5</v>
      </c>
    </row>
    <row r="565" spans="4:39" x14ac:dyDescent="0.25">
      <c r="D565" s="231">
        <v>407</v>
      </c>
      <c r="E565" s="231" t="s">
        <v>72</v>
      </c>
      <c r="F565" s="231" t="s">
        <v>73</v>
      </c>
      <c r="G565" s="231" t="s">
        <v>74</v>
      </c>
      <c r="I565" s="231" t="s">
        <v>76</v>
      </c>
      <c r="J565" s="231" t="s">
        <v>75</v>
      </c>
      <c r="M565" s="231" t="s">
        <v>515</v>
      </c>
      <c r="O565" s="232" t="s">
        <v>517</v>
      </c>
      <c r="P565" s="231" t="s">
        <v>70</v>
      </c>
      <c r="R565" s="231" t="s">
        <v>564</v>
      </c>
      <c r="S565" s="231" t="s">
        <v>566</v>
      </c>
      <c r="T565" s="231" t="s">
        <v>574</v>
      </c>
      <c r="U565" s="231" t="s">
        <v>573</v>
      </c>
      <c r="V565" s="231" t="s">
        <v>575</v>
      </c>
      <c r="W565" s="231" t="s">
        <v>567</v>
      </c>
      <c r="X565" s="231" t="s">
        <v>570</v>
      </c>
      <c r="Y565" s="231" t="s">
        <v>571</v>
      </c>
      <c r="AA565" s="231">
        <f t="shared" si="337"/>
        <v>0</v>
      </c>
      <c r="AB565" s="231">
        <f t="shared" si="338"/>
        <v>0</v>
      </c>
      <c r="AC565" s="231">
        <f t="shared" si="339"/>
        <v>1</v>
      </c>
      <c r="AD565" s="231">
        <f t="shared" si="340"/>
        <v>0</v>
      </c>
      <c r="AE565" s="231">
        <f t="shared" si="341"/>
        <v>1</v>
      </c>
      <c r="AF565" s="231">
        <f t="shared" si="342"/>
        <v>1</v>
      </c>
      <c r="AG565" s="231">
        <f t="shared" si="343"/>
        <v>0</v>
      </c>
      <c r="AH565" s="231">
        <f t="shared" si="344"/>
        <v>0</v>
      </c>
      <c r="AI565" s="231">
        <f t="shared" si="345"/>
        <v>1</v>
      </c>
      <c r="AJ565" s="231">
        <f t="shared" si="346"/>
        <v>0</v>
      </c>
      <c r="AK565" s="231">
        <f t="shared" si="347"/>
        <v>0</v>
      </c>
      <c r="AL565" s="231">
        <f t="shared" si="348"/>
        <v>1</v>
      </c>
      <c r="AM565" s="231">
        <f t="shared" si="349"/>
        <v>5</v>
      </c>
    </row>
    <row r="566" spans="4:39" x14ac:dyDescent="0.25">
      <c r="D566" s="231">
        <v>408</v>
      </c>
      <c r="E566" s="231" t="s">
        <v>72</v>
      </c>
      <c r="F566" s="231" t="s">
        <v>73</v>
      </c>
      <c r="G566" s="231" t="s">
        <v>74</v>
      </c>
      <c r="I566" s="231" t="s">
        <v>76</v>
      </c>
      <c r="J566" s="231" t="s">
        <v>75</v>
      </c>
      <c r="M566" s="231" t="s">
        <v>515</v>
      </c>
      <c r="N566" s="231" t="s">
        <v>516</v>
      </c>
      <c r="P566" s="231" t="s">
        <v>70</v>
      </c>
      <c r="R566" s="231" t="s">
        <v>564</v>
      </c>
      <c r="S566" s="231" t="s">
        <v>565</v>
      </c>
      <c r="T566" s="231" t="s">
        <v>574</v>
      </c>
      <c r="U566" s="231" t="s">
        <v>573</v>
      </c>
      <c r="V566" s="231" t="s">
        <v>575</v>
      </c>
      <c r="W566" s="231" t="s">
        <v>567</v>
      </c>
      <c r="X566" s="231" t="s">
        <v>570</v>
      </c>
      <c r="Y566" s="231" t="s">
        <v>566</v>
      </c>
      <c r="AA566" s="231">
        <f t="shared" si="337"/>
        <v>0</v>
      </c>
      <c r="AB566" s="231">
        <f t="shared" si="338"/>
        <v>0</v>
      </c>
      <c r="AC566" s="231">
        <f t="shared" si="339"/>
        <v>1</v>
      </c>
      <c r="AD566" s="231">
        <f t="shared" si="340"/>
        <v>0</v>
      </c>
      <c r="AE566" s="231">
        <f t="shared" si="341"/>
        <v>1</v>
      </c>
      <c r="AF566" s="231">
        <f t="shared" si="342"/>
        <v>1</v>
      </c>
      <c r="AG566" s="231">
        <f t="shared" si="343"/>
        <v>0</v>
      </c>
      <c r="AH566" s="231">
        <f t="shared" si="344"/>
        <v>0</v>
      </c>
      <c r="AI566" s="231">
        <f t="shared" si="345"/>
        <v>1</v>
      </c>
      <c r="AJ566" s="231">
        <f t="shared" si="346"/>
        <v>1</v>
      </c>
      <c r="AK566" s="231">
        <f t="shared" si="347"/>
        <v>0</v>
      </c>
      <c r="AL566" s="231">
        <f t="shared" si="348"/>
        <v>1</v>
      </c>
      <c r="AM566" s="231">
        <f t="shared" si="349"/>
        <v>6</v>
      </c>
    </row>
    <row r="567" spans="4:39" x14ac:dyDescent="0.25">
      <c r="D567" s="231">
        <v>409</v>
      </c>
      <c r="E567" s="231" t="s">
        <v>72</v>
      </c>
      <c r="F567" s="231" t="s">
        <v>73</v>
      </c>
      <c r="G567" s="231" t="s">
        <v>74</v>
      </c>
      <c r="I567" s="231" t="s">
        <v>76</v>
      </c>
      <c r="J567" s="231" t="s">
        <v>75</v>
      </c>
      <c r="M567" s="231" t="s">
        <v>515</v>
      </c>
      <c r="N567" s="231" t="s">
        <v>516</v>
      </c>
      <c r="O567" s="232" t="s">
        <v>517</v>
      </c>
      <c r="R567" s="231" t="s">
        <v>564</v>
      </c>
      <c r="S567" s="231" t="s">
        <v>565</v>
      </c>
      <c r="T567" s="231" t="s">
        <v>574</v>
      </c>
      <c r="U567" s="231" t="s">
        <v>573</v>
      </c>
      <c r="V567" s="231" t="s">
        <v>575</v>
      </c>
      <c r="W567" s="231" t="s">
        <v>567</v>
      </c>
      <c r="X567" s="231" t="s">
        <v>566</v>
      </c>
      <c r="Y567" s="231" t="s">
        <v>571</v>
      </c>
      <c r="AA567" s="231">
        <f t="shared" si="337"/>
        <v>0</v>
      </c>
      <c r="AB567" s="231">
        <f t="shared" si="338"/>
        <v>0</v>
      </c>
      <c r="AC567" s="231">
        <f t="shared" si="339"/>
        <v>1</v>
      </c>
      <c r="AD567" s="231">
        <f t="shared" si="340"/>
        <v>0</v>
      </c>
      <c r="AE567" s="231">
        <f t="shared" si="341"/>
        <v>1</v>
      </c>
      <c r="AF567" s="231">
        <f t="shared" si="342"/>
        <v>1</v>
      </c>
      <c r="AG567" s="231">
        <f t="shared" si="343"/>
        <v>0</v>
      </c>
      <c r="AH567" s="231">
        <f t="shared" si="344"/>
        <v>0</v>
      </c>
      <c r="AI567" s="231">
        <f t="shared" si="345"/>
        <v>1</v>
      </c>
      <c r="AJ567" s="231">
        <f t="shared" si="346"/>
        <v>1</v>
      </c>
      <c r="AK567" s="231">
        <f t="shared" si="347"/>
        <v>0</v>
      </c>
      <c r="AL567" s="231">
        <f t="shared" si="348"/>
        <v>0</v>
      </c>
      <c r="AM567" s="231">
        <f t="shared" si="349"/>
        <v>5</v>
      </c>
    </row>
    <row r="568" spans="4:39" x14ac:dyDescent="0.25">
      <c r="D568" s="231">
        <v>410</v>
      </c>
      <c r="E568" s="231" t="s">
        <v>72</v>
      </c>
      <c r="F568" s="231" t="s">
        <v>73</v>
      </c>
      <c r="G568" s="231" t="s">
        <v>74</v>
      </c>
      <c r="I568" s="231" t="s">
        <v>76</v>
      </c>
      <c r="J568" s="231" t="s">
        <v>75</v>
      </c>
      <c r="L568" s="231" t="s">
        <v>78</v>
      </c>
      <c r="O568" s="232" t="s">
        <v>517</v>
      </c>
      <c r="P568" s="231" t="s">
        <v>70</v>
      </c>
      <c r="R568" s="231" t="s">
        <v>568</v>
      </c>
      <c r="S568" s="231" t="s">
        <v>564</v>
      </c>
      <c r="T568" s="231" t="s">
        <v>574</v>
      </c>
      <c r="U568" s="231" t="s">
        <v>573</v>
      </c>
      <c r="V568" s="231" t="s">
        <v>575</v>
      </c>
      <c r="W568" s="231" t="s">
        <v>567</v>
      </c>
      <c r="X568" s="231" t="s">
        <v>570</v>
      </c>
      <c r="Y568" s="231" t="s">
        <v>571</v>
      </c>
      <c r="AA568" s="231">
        <f t="shared" si="337"/>
        <v>0</v>
      </c>
      <c r="AB568" s="231">
        <f t="shared" si="338"/>
        <v>0</v>
      </c>
      <c r="AC568" s="231">
        <f t="shared" si="339"/>
        <v>1</v>
      </c>
      <c r="AD568" s="231">
        <f t="shared" si="340"/>
        <v>0</v>
      </c>
      <c r="AE568" s="231">
        <f t="shared" si="341"/>
        <v>1</v>
      </c>
      <c r="AF568" s="231">
        <f t="shared" si="342"/>
        <v>1</v>
      </c>
      <c r="AG568" s="231">
        <f t="shared" si="343"/>
        <v>0</v>
      </c>
      <c r="AH568" s="231">
        <f t="shared" si="344"/>
        <v>0</v>
      </c>
      <c r="AI568" s="231">
        <f t="shared" si="345"/>
        <v>0</v>
      </c>
      <c r="AJ568" s="231">
        <f t="shared" si="346"/>
        <v>0</v>
      </c>
      <c r="AK568" s="231">
        <f t="shared" si="347"/>
        <v>0</v>
      </c>
      <c r="AL568" s="231">
        <f t="shared" si="348"/>
        <v>1</v>
      </c>
      <c r="AM568" s="231">
        <f t="shared" si="349"/>
        <v>4</v>
      </c>
    </row>
    <row r="569" spans="4:39" x14ac:dyDescent="0.25">
      <c r="D569" s="231">
        <v>411</v>
      </c>
      <c r="E569" s="231" t="s">
        <v>72</v>
      </c>
      <c r="F569" s="231" t="s">
        <v>73</v>
      </c>
      <c r="G569" s="231" t="s">
        <v>74</v>
      </c>
      <c r="I569" s="231" t="s">
        <v>76</v>
      </c>
      <c r="J569" s="231" t="s">
        <v>75</v>
      </c>
      <c r="L569" s="231" t="s">
        <v>78</v>
      </c>
      <c r="N569" s="231" t="s">
        <v>516</v>
      </c>
      <c r="P569" s="231" t="s">
        <v>70</v>
      </c>
      <c r="R569" s="231" t="s">
        <v>568</v>
      </c>
      <c r="S569" s="231" t="s">
        <v>565</v>
      </c>
      <c r="T569" s="231" t="s">
        <v>574</v>
      </c>
      <c r="U569" s="231" t="s">
        <v>573</v>
      </c>
      <c r="V569" s="231" t="s">
        <v>575</v>
      </c>
      <c r="W569" s="231" t="s">
        <v>567</v>
      </c>
      <c r="X569" s="231" t="s">
        <v>570</v>
      </c>
      <c r="Y569" s="231" t="s">
        <v>564</v>
      </c>
      <c r="AA569" s="231">
        <f t="shared" si="337"/>
        <v>0</v>
      </c>
      <c r="AB569" s="231">
        <f t="shared" si="338"/>
        <v>0</v>
      </c>
      <c r="AC569" s="231">
        <f t="shared" si="339"/>
        <v>1</v>
      </c>
      <c r="AD569" s="231">
        <f t="shared" si="340"/>
        <v>0</v>
      </c>
      <c r="AE569" s="231">
        <f t="shared" si="341"/>
        <v>1</v>
      </c>
      <c r="AF569" s="231">
        <f t="shared" si="342"/>
        <v>1</v>
      </c>
      <c r="AG569" s="231">
        <f t="shared" si="343"/>
        <v>0</v>
      </c>
      <c r="AH569" s="231">
        <f t="shared" si="344"/>
        <v>0</v>
      </c>
      <c r="AI569" s="231">
        <f t="shared" si="345"/>
        <v>0</v>
      </c>
      <c r="AJ569" s="231">
        <f t="shared" si="346"/>
        <v>1</v>
      </c>
      <c r="AK569" s="231">
        <f t="shared" si="347"/>
        <v>0</v>
      </c>
      <c r="AL569" s="231">
        <f t="shared" si="348"/>
        <v>1</v>
      </c>
      <c r="AM569" s="231">
        <f t="shared" si="349"/>
        <v>5</v>
      </c>
    </row>
    <row r="570" spans="4:39" x14ac:dyDescent="0.25">
      <c r="D570" s="231">
        <v>412</v>
      </c>
      <c r="E570" s="231" t="s">
        <v>72</v>
      </c>
      <c r="F570" s="231" t="s">
        <v>73</v>
      </c>
      <c r="G570" s="231" t="s">
        <v>74</v>
      </c>
      <c r="I570" s="231" t="s">
        <v>76</v>
      </c>
      <c r="J570" s="231" t="s">
        <v>75</v>
      </c>
      <c r="L570" s="231" t="s">
        <v>78</v>
      </c>
      <c r="N570" s="231" t="s">
        <v>516</v>
      </c>
      <c r="O570" s="232" t="s">
        <v>517</v>
      </c>
      <c r="R570" s="231" t="s">
        <v>568</v>
      </c>
      <c r="S570" s="231" t="s">
        <v>565</v>
      </c>
      <c r="T570" s="231" t="s">
        <v>574</v>
      </c>
      <c r="U570" s="231" t="s">
        <v>573</v>
      </c>
      <c r="V570" s="231" t="s">
        <v>575</v>
      </c>
      <c r="W570" s="231" t="s">
        <v>567</v>
      </c>
      <c r="X570" s="231" t="s">
        <v>564</v>
      </c>
      <c r="Y570" s="231" t="s">
        <v>571</v>
      </c>
      <c r="AA570" s="231">
        <f t="shared" si="337"/>
        <v>0</v>
      </c>
      <c r="AB570" s="231">
        <f t="shared" si="338"/>
        <v>0</v>
      </c>
      <c r="AC570" s="231">
        <f t="shared" si="339"/>
        <v>1</v>
      </c>
      <c r="AD570" s="231">
        <f t="shared" si="340"/>
        <v>0</v>
      </c>
      <c r="AE570" s="231">
        <f t="shared" si="341"/>
        <v>1</v>
      </c>
      <c r="AF570" s="231">
        <f t="shared" si="342"/>
        <v>1</v>
      </c>
      <c r="AG570" s="231">
        <f t="shared" si="343"/>
        <v>0</v>
      </c>
      <c r="AH570" s="231">
        <f t="shared" si="344"/>
        <v>0</v>
      </c>
      <c r="AI570" s="231">
        <f t="shared" si="345"/>
        <v>0</v>
      </c>
      <c r="AJ570" s="231">
        <f t="shared" si="346"/>
        <v>1</v>
      </c>
      <c r="AK570" s="231">
        <f t="shared" si="347"/>
        <v>0</v>
      </c>
      <c r="AL570" s="231">
        <f t="shared" si="348"/>
        <v>0</v>
      </c>
      <c r="AM570" s="231">
        <f t="shared" si="349"/>
        <v>4</v>
      </c>
    </row>
    <row r="571" spans="4:39" x14ac:dyDescent="0.25">
      <c r="D571" s="231">
        <v>413</v>
      </c>
      <c r="E571" s="231" t="s">
        <v>72</v>
      </c>
      <c r="F571" s="231" t="s">
        <v>73</v>
      </c>
      <c r="G571" s="231" t="s">
        <v>74</v>
      </c>
      <c r="I571" s="231" t="s">
        <v>76</v>
      </c>
      <c r="J571" s="231" t="s">
        <v>75</v>
      </c>
      <c r="L571" s="231" t="s">
        <v>78</v>
      </c>
      <c r="M571" s="231" t="s">
        <v>515</v>
      </c>
      <c r="P571" s="231" t="s">
        <v>70</v>
      </c>
      <c r="R571" s="231" t="s">
        <v>568</v>
      </c>
      <c r="S571" s="231" t="s">
        <v>564</v>
      </c>
      <c r="T571" s="231" t="s">
        <v>574</v>
      </c>
      <c r="U571" s="231" t="s">
        <v>573</v>
      </c>
      <c r="V571" s="231" t="s">
        <v>575</v>
      </c>
      <c r="W571" s="231" t="s">
        <v>567</v>
      </c>
      <c r="X571" s="231" t="s">
        <v>570</v>
      </c>
      <c r="Y571" s="231" t="s">
        <v>566</v>
      </c>
      <c r="AA571" s="231">
        <f t="shared" si="337"/>
        <v>0</v>
      </c>
      <c r="AB571" s="231">
        <f t="shared" si="338"/>
        <v>0</v>
      </c>
      <c r="AC571" s="231">
        <f t="shared" si="339"/>
        <v>1</v>
      </c>
      <c r="AD571" s="231">
        <f t="shared" si="340"/>
        <v>0</v>
      </c>
      <c r="AE571" s="231">
        <f t="shared" si="341"/>
        <v>1</v>
      </c>
      <c r="AF571" s="231">
        <f t="shared" si="342"/>
        <v>1</v>
      </c>
      <c r="AG571" s="231">
        <f t="shared" si="343"/>
        <v>0</v>
      </c>
      <c r="AH571" s="231">
        <f t="shared" si="344"/>
        <v>0</v>
      </c>
      <c r="AI571" s="231">
        <f t="shared" si="345"/>
        <v>1</v>
      </c>
      <c r="AJ571" s="231">
        <f t="shared" si="346"/>
        <v>0</v>
      </c>
      <c r="AK571" s="231">
        <f t="shared" si="347"/>
        <v>0</v>
      </c>
      <c r="AL571" s="231">
        <f t="shared" si="348"/>
        <v>1</v>
      </c>
      <c r="AM571" s="231">
        <f t="shared" si="349"/>
        <v>5</v>
      </c>
    </row>
    <row r="572" spans="4:39" x14ac:dyDescent="0.25">
      <c r="D572" s="231">
        <v>414</v>
      </c>
      <c r="E572" s="231" t="s">
        <v>72</v>
      </c>
      <c r="F572" s="231" t="s">
        <v>73</v>
      </c>
      <c r="G572" s="231" t="s">
        <v>74</v>
      </c>
      <c r="I572" s="231" t="s">
        <v>76</v>
      </c>
      <c r="J572" s="231" t="s">
        <v>75</v>
      </c>
      <c r="L572" s="231" t="s">
        <v>78</v>
      </c>
      <c r="M572" s="231" t="s">
        <v>515</v>
      </c>
      <c r="O572" s="232" t="s">
        <v>517</v>
      </c>
      <c r="R572" s="231" t="s">
        <v>568</v>
      </c>
      <c r="S572" s="231" t="s">
        <v>564</v>
      </c>
      <c r="T572" s="231" t="s">
        <v>574</v>
      </c>
      <c r="U572" s="231" t="s">
        <v>573</v>
      </c>
      <c r="V572" s="231" t="s">
        <v>575</v>
      </c>
      <c r="W572" s="231" t="s">
        <v>567</v>
      </c>
      <c r="X572" s="231" t="s">
        <v>566</v>
      </c>
      <c r="Y572" s="231" t="s">
        <v>571</v>
      </c>
      <c r="AA572" s="231">
        <f t="shared" si="337"/>
        <v>0</v>
      </c>
      <c r="AB572" s="231">
        <f t="shared" si="338"/>
        <v>0</v>
      </c>
      <c r="AC572" s="231">
        <f t="shared" si="339"/>
        <v>1</v>
      </c>
      <c r="AD572" s="231">
        <f t="shared" si="340"/>
        <v>0</v>
      </c>
      <c r="AE572" s="231">
        <f t="shared" si="341"/>
        <v>1</v>
      </c>
      <c r="AF572" s="231">
        <f t="shared" si="342"/>
        <v>1</v>
      </c>
      <c r="AG572" s="231">
        <f t="shared" si="343"/>
        <v>0</v>
      </c>
      <c r="AH572" s="231">
        <f t="shared" si="344"/>
        <v>0</v>
      </c>
      <c r="AI572" s="231">
        <f t="shared" si="345"/>
        <v>1</v>
      </c>
      <c r="AJ572" s="231">
        <f t="shared" si="346"/>
        <v>0</v>
      </c>
      <c r="AK572" s="231">
        <f t="shared" si="347"/>
        <v>0</v>
      </c>
      <c r="AL572" s="231">
        <f t="shared" si="348"/>
        <v>0</v>
      </c>
      <c r="AM572" s="231">
        <f t="shared" si="349"/>
        <v>4</v>
      </c>
    </row>
    <row r="573" spans="4:39" x14ac:dyDescent="0.25">
      <c r="D573" s="231">
        <v>415</v>
      </c>
      <c r="E573" s="231" t="s">
        <v>72</v>
      </c>
      <c r="F573" s="231" t="s">
        <v>73</v>
      </c>
      <c r="G573" s="231" t="s">
        <v>74</v>
      </c>
      <c r="I573" s="231" t="s">
        <v>76</v>
      </c>
      <c r="J573" s="231" t="s">
        <v>75</v>
      </c>
      <c r="L573" s="231" t="s">
        <v>78</v>
      </c>
      <c r="M573" s="231" t="s">
        <v>515</v>
      </c>
      <c r="N573" s="231" t="s">
        <v>516</v>
      </c>
      <c r="R573" s="231" t="s">
        <v>568</v>
      </c>
      <c r="S573" s="231" t="s">
        <v>565</v>
      </c>
      <c r="T573" s="231" t="s">
        <v>574</v>
      </c>
      <c r="U573" s="231" t="s">
        <v>573</v>
      </c>
      <c r="V573" s="231" t="s">
        <v>575</v>
      </c>
      <c r="W573" s="231" t="s">
        <v>567</v>
      </c>
      <c r="X573" s="231" t="s">
        <v>564</v>
      </c>
      <c r="Y573" s="231" t="s">
        <v>566</v>
      </c>
      <c r="AA573" s="231">
        <f t="shared" si="337"/>
        <v>0</v>
      </c>
      <c r="AB573" s="231">
        <f t="shared" si="338"/>
        <v>0</v>
      </c>
      <c r="AC573" s="231">
        <f t="shared" si="339"/>
        <v>1</v>
      </c>
      <c r="AD573" s="231">
        <f t="shared" si="340"/>
        <v>0</v>
      </c>
      <c r="AE573" s="231">
        <f t="shared" si="341"/>
        <v>1</v>
      </c>
      <c r="AF573" s="231">
        <f t="shared" si="342"/>
        <v>1</v>
      </c>
      <c r="AG573" s="231">
        <f t="shared" si="343"/>
        <v>0</v>
      </c>
      <c r="AH573" s="231">
        <f t="shared" si="344"/>
        <v>0</v>
      </c>
      <c r="AI573" s="231">
        <f t="shared" si="345"/>
        <v>1</v>
      </c>
      <c r="AJ573" s="231">
        <f t="shared" si="346"/>
        <v>1</v>
      </c>
      <c r="AK573" s="231">
        <f t="shared" si="347"/>
        <v>0</v>
      </c>
      <c r="AL573" s="231">
        <f t="shared" si="348"/>
        <v>0</v>
      </c>
      <c r="AM573" s="231">
        <f t="shared" si="349"/>
        <v>5</v>
      </c>
    </row>
    <row r="574" spans="4:39" x14ac:dyDescent="0.25">
      <c r="D574" s="231">
        <v>416</v>
      </c>
      <c r="E574" s="231" t="s">
        <v>72</v>
      </c>
      <c r="F574" s="231" t="s">
        <v>73</v>
      </c>
      <c r="G574" s="231" t="s">
        <v>74</v>
      </c>
      <c r="I574" s="231" t="s">
        <v>76</v>
      </c>
      <c r="J574" s="231" t="s">
        <v>75</v>
      </c>
      <c r="K574" s="231" t="s">
        <v>77</v>
      </c>
      <c r="O574" s="232" t="s">
        <v>517</v>
      </c>
      <c r="P574" s="231" t="s">
        <v>70</v>
      </c>
      <c r="R574" s="231" t="s">
        <v>564</v>
      </c>
      <c r="S574" s="231" t="s">
        <v>569</v>
      </c>
      <c r="T574" s="231" t="s">
        <v>574</v>
      </c>
      <c r="U574" s="231" t="s">
        <v>573</v>
      </c>
      <c r="V574" s="231" t="s">
        <v>575</v>
      </c>
      <c r="W574" s="231" t="s">
        <v>567</v>
      </c>
      <c r="X574" s="231" t="s">
        <v>570</v>
      </c>
      <c r="Y574" s="231" t="s">
        <v>571</v>
      </c>
      <c r="AA574" s="231">
        <f t="shared" si="337"/>
        <v>0</v>
      </c>
      <c r="AB574" s="231">
        <f t="shared" si="338"/>
        <v>0</v>
      </c>
      <c r="AC574" s="231">
        <f t="shared" si="339"/>
        <v>1</v>
      </c>
      <c r="AD574" s="231">
        <f t="shared" si="340"/>
        <v>0</v>
      </c>
      <c r="AE574" s="231">
        <f t="shared" si="341"/>
        <v>1</v>
      </c>
      <c r="AF574" s="231">
        <f t="shared" si="342"/>
        <v>1</v>
      </c>
      <c r="AG574" s="231">
        <f t="shared" si="343"/>
        <v>1</v>
      </c>
      <c r="AH574" s="231">
        <f t="shared" si="344"/>
        <v>0</v>
      </c>
      <c r="AI574" s="231">
        <f t="shared" si="345"/>
        <v>0</v>
      </c>
      <c r="AJ574" s="231">
        <f t="shared" si="346"/>
        <v>0</v>
      </c>
      <c r="AK574" s="231">
        <f t="shared" si="347"/>
        <v>0</v>
      </c>
      <c r="AL574" s="231">
        <f t="shared" si="348"/>
        <v>1</v>
      </c>
      <c r="AM574" s="231">
        <f t="shared" si="349"/>
        <v>5</v>
      </c>
    </row>
    <row r="575" spans="4:39" x14ac:dyDescent="0.25">
      <c r="D575" s="231">
        <v>417</v>
      </c>
      <c r="E575" s="231" t="s">
        <v>72</v>
      </c>
      <c r="F575" s="231" t="s">
        <v>73</v>
      </c>
      <c r="G575" s="231" t="s">
        <v>74</v>
      </c>
      <c r="I575" s="231" t="s">
        <v>76</v>
      </c>
      <c r="J575" s="231" t="s">
        <v>75</v>
      </c>
      <c r="K575" s="231" t="s">
        <v>77</v>
      </c>
      <c r="N575" s="231" t="s">
        <v>516</v>
      </c>
      <c r="P575" s="231" t="s">
        <v>70</v>
      </c>
      <c r="R575" s="231" t="s">
        <v>564</v>
      </c>
      <c r="S575" s="231" t="s">
        <v>569</v>
      </c>
      <c r="T575" s="231" t="s">
        <v>574</v>
      </c>
      <c r="U575" s="231" t="s">
        <v>573</v>
      </c>
      <c r="V575" s="231" t="s">
        <v>575</v>
      </c>
      <c r="W575" s="231" t="s">
        <v>567</v>
      </c>
      <c r="X575" s="231" t="s">
        <v>570</v>
      </c>
      <c r="Y575" s="231" t="s">
        <v>565</v>
      </c>
      <c r="AA575" s="231">
        <f t="shared" si="337"/>
        <v>0</v>
      </c>
      <c r="AB575" s="231">
        <f t="shared" si="338"/>
        <v>0</v>
      </c>
      <c r="AC575" s="231">
        <f t="shared" si="339"/>
        <v>1</v>
      </c>
      <c r="AD575" s="231">
        <f t="shared" si="340"/>
        <v>0</v>
      </c>
      <c r="AE575" s="231">
        <f t="shared" si="341"/>
        <v>1</v>
      </c>
      <c r="AF575" s="231">
        <f t="shared" si="342"/>
        <v>1</v>
      </c>
      <c r="AG575" s="231">
        <f t="shared" si="343"/>
        <v>1</v>
      </c>
      <c r="AH575" s="231">
        <f t="shared" si="344"/>
        <v>0</v>
      </c>
      <c r="AI575" s="231">
        <f t="shared" si="345"/>
        <v>0</v>
      </c>
      <c r="AJ575" s="231">
        <f t="shared" si="346"/>
        <v>1</v>
      </c>
      <c r="AK575" s="231">
        <f t="shared" si="347"/>
        <v>0</v>
      </c>
      <c r="AL575" s="231">
        <f t="shared" si="348"/>
        <v>1</v>
      </c>
      <c r="AM575" s="231">
        <f t="shared" si="349"/>
        <v>6</v>
      </c>
    </row>
    <row r="576" spans="4:39" x14ac:dyDescent="0.25">
      <c r="D576" s="231">
        <v>418</v>
      </c>
      <c r="E576" s="231" t="s">
        <v>72</v>
      </c>
      <c r="F576" s="231" t="s">
        <v>73</v>
      </c>
      <c r="G576" s="231" t="s">
        <v>74</v>
      </c>
      <c r="I576" s="231" t="s">
        <v>76</v>
      </c>
      <c r="J576" s="231" t="s">
        <v>75</v>
      </c>
      <c r="K576" s="231" t="s">
        <v>77</v>
      </c>
      <c r="N576" s="231" t="s">
        <v>516</v>
      </c>
      <c r="O576" s="232" t="s">
        <v>517</v>
      </c>
      <c r="R576" s="231" t="s">
        <v>564</v>
      </c>
      <c r="S576" s="231" t="s">
        <v>569</v>
      </c>
      <c r="T576" s="231" t="s">
        <v>574</v>
      </c>
      <c r="U576" s="231" t="s">
        <v>573</v>
      </c>
      <c r="V576" s="231" t="s">
        <v>575</v>
      </c>
      <c r="W576" s="231" t="s">
        <v>567</v>
      </c>
      <c r="X576" s="231" t="s">
        <v>565</v>
      </c>
      <c r="Y576" s="231" t="s">
        <v>571</v>
      </c>
      <c r="AA576" s="231">
        <f t="shared" si="337"/>
        <v>0</v>
      </c>
      <c r="AB576" s="231">
        <f t="shared" si="338"/>
        <v>0</v>
      </c>
      <c r="AC576" s="231">
        <f t="shared" si="339"/>
        <v>1</v>
      </c>
      <c r="AD576" s="231">
        <f t="shared" si="340"/>
        <v>0</v>
      </c>
      <c r="AE576" s="231">
        <f t="shared" si="341"/>
        <v>1</v>
      </c>
      <c r="AF576" s="231">
        <f t="shared" si="342"/>
        <v>1</v>
      </c>
      <c r="AG576" s="231">
        <f t="shared" si="343"/>
        <v>1</v>
      </c>
      <c r="AH576" s="231">
        <f t="shared" si="344"/>
        <v>0</v>
      </c>
      <c r="AI576" s="231">
        <f t="shared" si="345"/>
        <v>0</v>
      </c>
      <c r="AJ576" s="231">
        <f t="shared" si="346"/>
        <v>1</v>
      </c>
      <c r="AK576" s="231">
        <f t="shared" si="347"/>
        <v>0</v>
      </c>
      <c r="AL576" s="231">
        <f t="shared" si="348"/>
        <v>0</v>
      </c>
      <c r="AM576" s="231">
        <f t="shared" si="349"/>
        <v>5</v>
      </c>
    </row>
    <row r="577" spans="4:39" x14ac:dyDescent="0.25">
      <c r="D577" s="231">
        <v>419</v>
      </c>
      <c r="E577" s="231" t="s">
        <v>72</v>
      </c>
      <c r="F577" s="231" t="s">
        <v>73</v>
      </c>
      <c r="G577" s="231" t="s">
        <v>74</v>
      </c>
      <c r="I577" s="231" t="s">
        <v>76</v>
      </c>
      <c r="J577" s="231" t="s">
        <v>75</v>
      </c>
      <c r="K577" s="231" t="s">
        <v>77</v>
      </c>
      <c r="M577" s="231" t="s">
        <v>515</v>
      </c>
      <c r="P577" s="231" t="s">
        <v>70</v>
      </c>
      <c r="R577" s="231" t="s">
        <v>564</v>
      </c>
      <c r="S577" s="231" t="s">
        <v>569</v>
      </c>
      <c r="T577" s="231" t="s">
        <v>574</v>
      </c>
      <c r="U577" s="231" t="s">
        <v>573</v>
      </c>
      <c r="V577" s="231" t="s">
        <v>575</v>
      </c>
      <c r="W577" s="231" t="s">
        <v>567</v>
      </c>
      <c r="X577" s="231" t="s">
        <v>570</v>
      </c>
      <c r="Y577" s="231" t="s">
        <v>566</v>
      </c>
      <c r="AA577" s="231">
        <f t="shared" si="337"/>
        <v>0</v>
      </c>
      <c r="AB577" s="231">
        <f t="shared" si="338"/>
        <v>0</v>
      </c>
      <c r="AC577" s="231">
        <f t="shared" si="339"/>
        <v>1</v>
      </c>
      <c r="AD577" s="231">
        <f t="shared" si="340"/>
        <v>0</v>
      </c>
      <c r="AE577" s="231">
        <f t="shared" si="341"/>
        <v>1</v>
      </c>
      <c r="AF577" s="231">
        <f t="shared" si="342"/>
        <v>1</v>
      </c>
      <c r="AG577" s="231">
        <f t="shared" si="343"/>
        <v>1</v>
      </c>
      <c r="AH577" s="231">
        <f t="shared" si="344"/>
        <v>0</v>
      </c>
      <c r="AI577" s="231">
        <f t="shared" si="345"/>
        <v>1</v>
      </c>
      <c r="AJ577" s="231">
        <f t="shared" si="346"/>
        <v>0</v>
      </c>
      <c r="AK577" s="231">
        <f t="shared" si="347"/>
        <v>0</v>
      </c>
      <c r="AL577" s="231">
        <f t="shared" si="348"/>
        <v>1</v>
      </c>
      <c r="AM577" s="231">
        <f t="shared" si="349"/>
        <v>6</v>
      </c>
    </row>
    <row r="578" spans="4:39" x14ac:dyDescent="0.25">
      <c r="D578" s="231">
        <v>420</v>
      </c>
      <c r="E578" s="231" t="s">
        <v>72</v>
      </c>
      <c r="F578" s="231" t="s">
        <v>73</v>
      </c>
      <c r="G578" s="231" t="s">
        <v>74</v>
      </c>
      <c r="I578" s="231" t="s">
        <v>76</v>
      </c>
      <c r="J578" s="231" t="s">
        <v>75</v>
      </c>
      <c r="K578" s="231" t="s">
        <v>77</v>
      </c>
      <c r="M578" s="231" t="s">
        <v>515</v>
      </c>
      <c r="O578" s="232" t="s">
        <v>517</v>
      </c>
      <c r="R578" s="231" t="s">
        <v>564</v>
      </c>
      <c r="S578" s="231" t="s">
        <v>569</v>
      </c>
      <c r="T578" s="231" t="s">
        <v>574</v>
      </c>
      <c r="U578" s="231" t="s">
        <v>573</v>
      </c>
      <c r="V578" s="231" t="s">
        <v>575</v>
      </c>
      <c r="W578" s="231" t="s">
        <v>567</v>
      </c>
      <c r="X578" s="231" t="s">
        <v>566</v>
      </c>
      <c r="Y578" s="231" t="s">
        <v>571</v>
      </c>
      <c r="AA578" s="231">
        <f t="shared" si="337"/>
        <v>0</v>
      </c>
      <c r="AB578" s="231">
        <f t="shared" si="338"/>
        <v>0</v>
      </c>
      <c r="AC578" s="231">
        <f t="shared" si="339"/>
        <v>1</v>
      </c>
      <c r="AD578" s="231">
        <f t="shared" si="340"/>
        <v>0</v>
      </c>
      <c r="AE578" s="231">
        <f t="shared" si="341"/>
        <v>1</v>
      </c>
      <c r="AF578" s="231">
        <f t="shared" si="342"/>
        <v>1</v>
      </c>
      <c r="AG578" s="231">
        <f t="shared" si="343"/>
        <v>1</v>
      </c>
      <c r="AH578" s="231">
        <f t="shared" si="344"/>
        <v>0</v>
      </c>
      <c r="AI578" s="231">
        <f t="shared" si="345"/>
        <v>1</v>
      </c>
      <c r="AJ578" s="231">
        <f t="shared" si="346"/>
        <v>0</v>
      </c>
      <c r="AK578" s="231">
        <f t="shared" si="347"/>
        <v>0</v>
      </c>
      <c r="AL578" s="231">
        <f t="shared" si="348"/>
        <v>0</v>
      </c>
      <c r="AM578" s="231">
        <f t="shared" si="349"/>
        <v>5</v>
      </c>
    </row>
    <row r="579" spans="4:39" x14ac:dyDescent="0.25">
      <c r="D579" s="231">
        <v>421</v>
      </c>
      <c r="E579" s="231" t="s">
        <v>72</v>
      </c>
      <c r="F579" s="231" t="s">
        <v>73</v>
      </c>
      <c r="G579" s="231" t="s">
        <v>74</v>
      </c>
      <c r="I579" s="231" t="s">
        <v>76</v>
      </c>
      <c r="J579" s="231" t="s">
        <v>75</v>
      </c>
      <c r="K579" s="231" t="s">
        <v>77</v>
      </c>
      <c r="M579" s="231" t="s">
        <v>515</v>
      </c>
      <c r="N579" s="231" t="s">
        <v>516</v>
      </c>
      <c r="R579" s="231" t="s">
        <v>564</v>
      </c>
      <c r="S579" s="231" t="s">
        <v>569</v>
      </c>
      <c r="T579" s="231" t="s">
        <v>574</v>
      </c>
      <c r="U579" s="231" t="s">
        <v>573</v>
      </c>
      <c r="V579" s="231" t="s">
        <v>575</v>
      </c>
      <c r="W579" s="231" t="s">
        <v>567</v>
      </c>
      <c r="X579" s="231" t="s">
        <v>566</v>
      </c>
      <c r="Y579" s="231" t="s">
        <v>565</v>
      </c>
      <c r="AA579" s="231">
        <f t="shared" si="337"/>
        <v>0</v>
      </c>
      <c r="AB579" s="231">
        <f t="shared" si="338"/>
        <v>0</v>
      </c>
      <c r="AC579" s="231">
        <f t="shared" si="339"/>
        <v>1</v>
      </c>
      <c r="AD579" s="231">
        <f t="shared" si="340"/>
        <v>0</v>
      </c>
      <c r="AE579" s="231">
        <f t="shared" si="341"/>
        <v>1</v>
      </c>
      <c r="AF579" s="231">
        <f t="shared" si="342"/>
        <v>1</v>
      </c>
      <c r="AG579" s="231">
        <f t="shared" si="343"/>
        <v>1</v>
      </c>
      <c r="AH579" s="231">
        <f t="shared" si="344"/>
        <v>0</v>
      </c>
      <c r="AI579" s="231">
        <f t="shared" si="345"/>
        <v>1</v>
      </c>
      <c r="AJ579" s="231">
        <f t="shared" si="346"/>
        <v>1</v>
      </c>
      <c r="AK579" s="231">
        <f t="shared" si="347"/>
        <v>0</v>
      </c>
      <c r="AL579" s="231">
        <f t="shared" si="348"/>
        <v>0</v>
      </c>
      <c r="AM579" s="231">
        <f t="shared" si="349"/>
        <v>6</v>
      </c>
    </row>
    <row r="580" spans="4:39" x14ac:dyDescent="0.25">
      <c r="D580" s="231">
        <v>422</v>
      </c>
      <c r="E580" s="231" t="s">
        <v>72</v>
      </c>
      <c r="F580" s="231" t="s">
        <v>73</v>
      </c>
      <c r="G580" s="231" t="s">
        <v>74</v>
      </c>
      <c r="I580" s="231" t="s">
        <v>76</v>
      </c>
      <c r="J580" s="231" t="s">
        <v>75</v>
      </c>
      <c r="K580" s="231" t="s">
        <v>77</v>
      </c>
      <c r="L580" s="231" t="s">
        <v>78</v>
      </c>
      <c r="P580" s="231" t="s">
        <v>70</v>
      </c>
      <c r="R580" s="231" t="s">
        <v>568</v>
      </c>
      <c r="S580" s="231" t="s">
        <v>569</v>
      </c>
      <c r="T580" s="231" t="s">
        <v>574</v>
      </c>
      <c r="U580" s="231" t="s">
        <v>573</v>
      </c>
      <c r="V580" s="231" t="s">
        <v>575</v>
      </c>
      <c r="W580" s="231" t="s">
        <v>567</v>
      </c>
      <c r="X580" s="231" t="s">
        <v>570</v>
      </c>
      <c r="Y580" s="231" t="s">
        <v>564</v>
      </c>
      <c r="AA580" s="231">
        <f t="shared" si="337"/>
        <v>0</v>
      </c>
      <c r="AB580" s="231">
        <f t="shared" si="338"/>
        <v>0</v>
      </c>
      <c r="AC580" s="231">
        <f t="shared" si="339"/>
        <v>1</v>
      </c>
      <c r="AD580" s="231">
        <f t="shared" si="340"/>
        <v>0</v>
      </c>
      <c r="AE580" s="231">
        <f t="shared" si="341"/>
        <v>1</v>
      </c>
      <c r="AF580" s="231">
        <f t="shared" si="342"/>
        <v>1</v>
      </c>
      <c r="AG580" s="231">
        <f t="shared" si="343"/>
        <v>1</v>
      </c>
      <c r="AH580" s="231">
        <f t="shared" si="344"/>
        <v>0</v>
      </c>
      <c r="AI580" s="231">
        <f t="shared" si="345"/>
        <v>0</v>
      </c>
      <c r="AJ580" s="231">
        <f t="shared" si="346"/>
        <v>0</v>
      </c>
      <c r="AK580" s="231">
        <f t="shared" si="347"/>
        <v>0</v>
      </c>
      <c r="AL580" s="231">
        <f t="shared" si="348"/>
        <v>1</v>
      </c>
      <c r="AM580" s="231">
        <f t="shared" si="349"/>
        <v>5</v>
      </c>
    </row>
    <row r="581" spans="4:39" x14ac:dyDescent="0.25">
      <c r="D581" s="231">
        <v>423</v>
      </c>
      <c r="E581" s="231" t="s">
        <v>72</v>
      </c>
      <c r="F581" s="231" t="s">
        <v>73</v>
      </c>
      <c r="G581" s="231" t="s">
        <v>74</v>
      </c>
      <c r="I581" s="231" t="s">
        <v>76</v>
      </c>
      <c r="J581" s="231" t="s">
        <v>75</v>
      </c>
      <c r="K581" s="231" t="s">
        <v>77</v>
      </c>
      <c r="L581" s="231" t="s">
        <v>78</v>
      </c>
      <c r="O581" s="232" t="s">
        <v>517</v>
      </c>
      <c r="R581" s="231" t="s">
        <v>568</v>
      </c>
      <c r="S581" s="231" t="s">
        <v>569</v>
      </c>
      <c r="T581" s="231" t="s">
        <v>574</v>
      </c>
      <c r="U581" s="231" t="s">
        <v>573</v>
      </c>
      <c r="V581" s="231" t="s">
        <v>575</v>
      </c>
      <c r="W581" s="231" t="s">
        <v>567</v>
      </c>
      <c r="X581" s="231" t="s">
        <v>564</v>
      </c>
      <c r="Y581" s="231" t="s">
        <v>571</v>
      </c>
      <c r="AA581" s="231">
        <f t="shared" si="337"/>
        <v>0</v>
      </c>
      <c r="AB581" s="231">
        <f t="shared" si="338"/>
        <v>0</v>
      </c>
      <c r="AC581" s="231">
        <f t="shared" si="339"/>
        <v>1</v>
      </c>
      <c r="AD581" s="231">
        <f t="shared" si="340"/>
        <v>0</v>
      </c>
      <c r="AE581" s="231">
        <f t="shared" si="341"/>
        <v>1</v>
      </c>
      <c r="AF581" s="231">
        <f t="shared" si="342"/>
        <v>1</v>
      </c>
      <c r="AG581" s="231">
        <f t="shared" si="343"/>
        <v>1</v>
      </c>
      <c r="AH581" s="231">
        <f t="shared" si="344"/>
        <v>0</v>
      </c>
      <c r="AI581" s="231">
        <f t="shared" si="345"/>
        <v>0</v>
      </c>
      <c r="AJ581" s="231">
        <f t="shared" si="346"/>
        <v>0</v>
      </c>
      <c r="AK581" s="231">
        <f t="shared" si="347"/>
        <v>0</v>
      </c>
      <c r="AL581" s="231">
        <f t="shared" si="348"/>
        <v>0</v>
      </c>
      <c r="AM581" s="231">
        <f t="shared" si="349"/>
        <v>4</v>
      </c>
    </row>
    <row r="582" spans="4:39" x14ac:dyDescent="0.25">
      <c r="D582" s="231">
        <v>424</v>
      </c>
      <c r="E582" s="231" t="s">
        <v>72</v>
      </c>
      <c r="F582" s="231" t="s">
        <v>73</v>
      </c>
      <c r="G582" s="231" t="s">
        <v>74</v>
      </c>
      <c r="I582" s="231" t="s">
        <v>76</v>
      </c>
      <c r="J582" s="231" t="s">
        <v>75</v>
      </c>
      <c r="K582" s="231" t="s">
        <v>77</v>
      </c>
      <c r="L582" s="231" t="s">
        <v>78</v>
      </c>
      <c r="N582" s="231" t="s">
        <v>516</v>
      </c>
      <c r="R582" s="231" t="s">
        <v>568</v>
      </c>
      <c r="S582" s="231" t="s">
        <v>569</v>
      </c>
      <c r="T582" s="231" t="s">
        <v>574</v>
      </c>
      <c r="U582" s="231" t="s">
        <v>573</v>
      </c>
      <c r="V582" s="231" t="s">
        <v>575</v>
      </c>
      <c r="W582" s="231" t="s">
        <v>567</v>
      </c>
      <c r="X582" s="231" t="s">
        <v>564</v>
      </c>
      <c r="Y582" s="231" t="s">
        <v>565</v>
      </c>
      <c r="AA582" s="231">
        <f t="shared" si="337"/>
        <v>0</v>
      </c>
      <c r="AB582" s="231">
        <f t="shared" si="338"/>
        <v>0</v>
      </c>
      <c r="AC582" s="231">
        <f t="shared" si="339"/>
        <v>1</v>
      </c>
      <c r="AD582" s="231">
        <f t="shared" si="340"/>
        <v>0</v>
      </c>
      <c r="AE582" s="231">
        <f t="shared" si="341"/>
        <v>1</v>
      </c>
      <c r="AF582" s="231">
        <f t="shared" si="342"/>
        <v>1</v>
      </c>
      <c r="AG582" s="231">
        <f t="shared" si="343"/>
        <v>1</v>
      </c>
      <c r="AH582" s="231">
        <f t="shared" si="344"/>
        <v>0</v>
      </c>
      <c r="AI582" s="231">
        <f t="shared" si="345"/>
        <v>0</v>
      </c>
      <c r="AJ582" s="231">
        <f t="shared" si="346"/>
        <v>1</v>
      </c>
      <c r="AK582" s="231">
        <f t="shared" si="347"/>
        <v>0</v>
      </c>
      <c r="AL582" s="231">
        <f t="shared" si="348"/>
        <v>0</v>
      </c>
      <c r="AM582" s="231">
        <f t="shared" si="349"/>
        <v>5</v>
      </c>
    </row>
    <row r="583" spans="4:39" x14ac:dyDescent="0.25">
      <c r="D583" s="231">
        <v>425</v>
      </c>
      <c r="E583" s="231" t="s">
        <v>72</v>
      </c>
      <c r="F583" s="231" t="s">
        <v>73</v>
      </c>
      <c r="G583" s="231" t="s">
        <v>74</v>
      </c>
      <c r="I583" s="231" t="s">
        <v>76</v>
      </c>
      <c r="J583" s="231" t="s">
        <v>75</v>
      </c>
      <c r="K583" s="231" t="s">
        <v>77</v>
      </c>
      <c r="L583" s="231" t="s">
        <v>78</v>
      </c>
      <c r="M583" s="231" t="s">
        <v>515</v>
      </c>
      <c r="R583" s="231" t="s">
        <v>568</v>
      </c>
      <c r="S583" s="231" t="s">
        <v>569</v>
      </c>
      <c r="T583" s="231" t="s">
        <v>574</v>
      </c>
      <c r="U583" s="231" t="s">
        <v>573</v>
      </c>
      <c r="V583" s="231" t="s">
        <v>575</v>
      </c>
      <c r="W583" s="231" t="s">
        <v>567</v>
      </c>
      <c r="X583" s="231" t="s">
        <v>564</v>
      </c>
      <c r="Y583" s="231" t="s">
        <v>566</v>
      </c>
      <c r="AA583" s="231">
        <f t="shared" si="337"/>
        <v>0</v>
      </c>
      <c r="AB583" s="231">
        <f t="shared" si="338"/>
        <v>0</v>
      </c>
      <c r="AC583" s="231">
        <f t="shared" si="339"/>
        <v>1</v>
      </c>
      <c r="AD583" s="231">
        <f t="shared" si="340"/>
        <v>0</v>
      </c>
      <c r="AE583" s="231">
        <f t="shared" si="341"/>
        <v>1</v>
      </c>
      <c r="AF583" s="231">
        <f t="shared" si="342"/>
        <v>1</v>
      </c>
      <c r="AG583" s="231">
        <f t="shared" si="343"/>
        <v>1</v>
      </c>
      <c r="AH583" s="231">
        <f t="shared" si="344"/>
        <v>0</v>
      </c>
      <c r="AI583" s="231">
        <f t="shared" si="345"/>
        <v>1</v>
      </c>
      <c r="AJ583" s="231">
        <f t="shared" si="346"/>
        <v>0</v>
      </c>
      <c r="AK583" s="231">
        <f t="shared" si="347"/>
        <v>0</v>
      </c>
      <c r="AL583" s="231">
        <f t="shared" si="348"/>
        <v>0</v>
      </c>
      <c r="AM583" s="231">
        <f t="shared" si="349"/>
        <v>5</v>
      </c>
    </row>
    <row r="584" spans="4:39" x14ac:dyDescent="0.25">
      <c r="D584" s="231">
        <v>426</v>
      </c>
      <c r="E584" s="231" t="s">
        <v>72</v>
      </c>
      <c r="F584" s="231" t="s">
        <v>73</v>
      </c>
      <c r="G584" s="231" t="s">
        <v>74</v>
      </c>
      <c r="H584" s="231" t="s">
        <v>69</v>
      </c>
      <c r="M584" s="231" t="s">
        <v>515</v>
      </c>
      <c r="N584" s="231" t="s">
        <v>516</v>
      </c>
      <c r="O584" s="232" t="s">
        <v>517</v>
      </c>
      <c r="P584" s="231" t="s">
        <v>70</v>
      </c>
      <c r="R584" s="231" t="s">
        <v>566</v>
      </c>
      <c r="S584" s="231" t="s">
        <v>565</v>
      </c>
      <c r="T584" s="231" t="s">
        <v>574</v>
      </c>
      <c r="U584" s="231" t="s">
        <v>573</v>
      </c>
      <c r="V584" s="231" t="s">
        <v>575</v>
      </c>
      <c r="W584" s="231" t="s">
        <v>572</v>
      </c>
      <c r="X584" s="231" t="s">
        <v>570</v>
      </c>
      <c r="Y584" s="231" t="s">
        <v>571</v>
      </c>
      <c r="AA584" s="231">
        <f t="shared" si="337"/>
        <v>0</v>
      </c>
      <c r="AB584" s="231">
        <f t="shared" si="338"/>
        <v>0</v>
      </c>
      <c r="AC584" s="231">
        <f t="shared" si="339"/>
        <v>1</v>
      </c>
      <c r="AD584" s="231">
        <f t="shared" si="340"/>
        <v>1</v>
      </c>
      <c r="AE584" s="231">
        <f t="shared" si="341"/>
        <v>0</v>
      </c>
      <c r="AF584" s="231">
        <f t="shared" si="342"/>
        <v>0</v>
      </c>
      <c r="AG584" s="231">
        <f t="shared" si="343"/>
        <v>0</v>
      </c>
      <c r="AH584" s="231">
        <f t="shared" si="344"/>
        <v>0</v>
      </c>
      <c r="AI584" s="231">
        <f t="shared" si="345"/>
        <v>1</v>
      </c>
      <c r="AJ584" s="231">
        <f t="shared" si="346"/>
        <v>1</v>
      </c>
      <c r="AK584" s="231">
        <f t="shared" si="347"/>
        <v>0</v>
      </c>
      <c r="AL584" s="231">
        <f t="shared" si="348"/>
        <v>1</v>
      </c>
      <c r="AM584" s="231">
        <f t="shared" si="349"/>
        <v>5</v>
      </c>
    </row>
    <row r="585" spans="4:39" x14ac:dyDescent="0.25">
      <c r="D585" s="231">
        <v>427</v>
      </c>
      <c r="E585" s="231" t="s">
        <v>72</v>
      </c>
      <c r="F585" s="231" t="s">
        <v>73</v>
      </c>
      <c r="G585" s="231" t="s">
        <v>74</v>
      </c>
      <c r="H585" s="231" t="s">
        <v>69</v>
      </c>
      <c r="L585" s="231" t="s">
        <v>78</v>
      </c>
      <c r="N585" s="231" t="s">
        <v>516</v>
      </c>
      <c r="O585" s="232" t="s">
        <v>517</v>
      </c>
      <c r="P585" s="231" t="s">
        <v>70</v>
      </c>
      <c r="R585" s="231" t="s">
        <v>568</v>
      </c>
      <c r="S585" s="231" t="s">
        <v>565</v>
      </c>
      <c r="T585" s="231" t="s">
        <v>574</v>
      </c>
      <c r="U585" s="231" t="s">
        <v>573</v>
      </c>
      <c r="V585" s="231" t="s">
        <v>575</v>
      </c>
      <c r="W585" s="231" t="s">
        <v>572</v>
      </c>
      <c r="X585" s="231" t="s">
        <v>570</v>
      </c>
      <c r="Y585" s="231" t="s">
        <v>571</v>
      </c>
      <c r="AA585" s="231">
        <f t="shared" si="337"/>
        <v>0</v>
      </c>
      <c r="AB585" s="231">
        <f t="shared" si="338"/>
        <v>0</v>
      </c>
      <c r="AC585" s="231">
        <f t="shared" si="339"/>
        <v>1</v>
      </c>
      <c r="AD585" s="231">
        <f t="shared" si="340"/>
        <v>1</v>
      </c>
      <c r="AE585" s="231">
        <f t="shared" si="341"/>
        <v>0</v>
      </c>
      <c r="AF585" s="231">
        <f t="shared" si="342"/>
        <v>0</v>
      </c>
      <c r="AG585" s="231">
        <f t="shared" si="343"/>
        <v>0</v>
      </c>
      <c r="AH585" s="231">
        <f t="shared" si="344"/>
        <v>0</v>
      </c>
      <c r="AI585" s="231">
        <f t="shared" si="345"/>
        <v>0</v>
      </c>
      <c r="AJ585" s="231">
        <f t="shared" si="346"/>
        <v>1</v>
      </c>
      <c r="AK585" s="231">
        <f t="shared" si="347"/>
        <v>0</v>
      </c>
      <c r="AL585" s="231">
        <f t="shared" si="348"/>
        <v>1</v>
      </c>
      <c r="AM585" s="231">
        <f t="shared" si="349"/>
        <v>4</v>
      </c>
    </row>
    <row r="586" spans="4:39" x14ac:dyDescent="0.25">
      <c r="D586" s="231">
        <v>428</v>
      </c>
      <c r="E586" s="231" t="s">
        <v>72</v>
      </c>
      <c r="F586" s="231" t="s">
        <v>73</v>
      </c>
      <c r="G586" s="231" t="s">
        <v>74</v>
      </c>
      <c r="H586" s="231" t="s">
        <v>69</v>
      </c>
      <c r="L586" s="231" t="s">
        <v>78</v>
      </c>
      <c r="M586" s="231" t="s">
        <v>515</v>
      </c>
      <c r="O586" s="232" t="s">
        <v>517</v>
      </c>
      <c r="P586" s="231" t="s">
        <v>70</v>
      </c>
      <c r="R586" s="231" t="s">
        <v>568</v>
      </c>
      <c r="S586" s="231" t="s">
        <v>566</v>
      </c>
      <c r="T586" s="231" t="s">
        <v>574</v>
      </c>
      <c r="U586" s="231" t="s">
        <v>573</v>
      </c>
      <c r="V586" s="231" t="s">
        <v>575</v>
      </c>
      <c r="W586" s="231" t="s">
        <v>572</v>
      </c>
      <c r="X586" s="231" t="s">
        <v>570</v>
      </c>
      <c r="Y586" s="231" t="s">
        <v>571</v>
      </c>
      <c r="AA586" s="231">
        <f t="shared" si="337"/>
        <v>0</v>
      </c>
      <c r="AB586" s="231">
        <f t="shared" si="338"/>
        <v>0</v>
      </c>
      <c r="AC586" s="231">
        <f t="shared" si="339"/>
        <v>1</v>
      </c>
      <c r="AD586" s="231">
        <f t="shared" si="340"/>
        <v>1</v>
      </c>
      <c r="AE586" s="231">
        <f t="shared" si="341"/>
        <v>0</v>
      </c>
      <c r="AF586" s="231">
        <f t="shared" si="342"/>
        <v>0</v>
      </c>
      <c r="AG586" s="231">
        <f t="shared" si="343"/>
        <v>0</v>
      </c>
      <c r="AH586" s="231">
        <f t="shared" si="344"/>
        <v>0</v>
      </c>
      <c r="AI586" s="231">
        <f t="shared" si="345"/>
        <v>1</v>
      </c>
      <c r="AJ586" s="231">
        <f t="shared" si="346"/>
        <v>0</v>
      </c>
      <c r="AK586" s="231">
        <f t="shared" si="347"/>
        <v>0</v>
      </c>
      <c r="AL586" s="231">
        <f t="shared" si="348"/>
        <v>1</v>
      </c>
      <c r="AM586" s="231">
        <f t="shared" si="349"/>
        <v>4</v>
      </c>
    </row>
    <row r="587" spans="4:39" x14ac:dyDescent="0.25">
      <c r="D587" s="231">
        <v>429</v>
      </c>
      <c r="E587" s="231" t="s">
        <v>72</v>
      </c>
      <c r="F587" s="231" t="s">
        <v>73</v>
      </c>
      <c r="G587" s="231" t="s">
        <v>74</v>
      </c>
      <c r="H587" s="231" t="s">
        <v>69</v>
      </c>
      <c r="L587" s="231" t="s">
        <v>78</v>
      </c>
      <c r="M587" s="231" t="s">
        <v>515</v>
      </c>
      <c r="N587" s="231" t="s">
        <v>516</v>
      </c>
      <c r="P587" s="231" t="s">
        <v>70</v>
      </c>
      <c r="R587" s="231" t="s">
        <v>568</v>
      </c>
      <c r="S587" s="231" t="s">
        <v>565</v>
      </c>
      <c r="T587" s="231" t="s">
        <v>574</v>
      </c>
      <c r="U587" s="231" t="s">
        <v>573</v>
      </c>
      <c r="V587" s="231" t="s">
        <v>575</v>
      </c>
      <c r="W587" s="231" t="s">
        <v>572</v>
      </c>
      <c r="X587" s="231" t="s">
        <v>570</v>
      </c>
      <c r="Y587" s="231" t="s">
        <v>566</v>
      </c>
      <c r="AA587" s="231">
        <f t="shared" si="337"/>
        <v>0</v>
      </c>
      <c r="AB587" s="231">
        <f t="shared" si="338"/>
        <v>0</v>
      </c>
      <c r="AC587" s="231">
        <f t="shared" si="339"/>
        <v>1</v>
      </c>
      <c r="AD587" s="231">
        <f t="shared" si="340"/>
        <v>1</v>
      </c>
      <c r="AE587" s="231">
        <f t="shared" si="341"/>
        <v>0</v>
      </c>
      <c r="AF587" s="231">
        <f t="shared" si="342"/>
        <v>0</v>
      </c>
      <c r="AG587" s="231">
        <f t="shared" si="343"/>
        <v>0</v>
      </c>
      <c r="AH587" s="231">
        <f t="shared" si="344"/>
        <v>0</v>
      </c>
      <c r="AI587" s="231">
        <f t="shared" si="345"/>
        <v>1</v>
      </c>
      <c r="AJ587" s="231">
        <f t="shared" si="346"/>
        <v>1</v>
      </c>
      <c r="AK587" s="231">
        <f t="shared" si="347"/>
        <v>0</v>
      </c>
      <c r="AL587" s="231">
        <f t="shared" si="348"/>
        <v>1</v>
      </c>
      <c r="AM587" s="231">
        <f t="shared" si="349"/>
        <v>5</v>
      </c>
    </row>
    <row r="588" spans="4:39" x14ac:dyDescent="0.25">
      <c r="D588" s="231">
        <v>430</v>
      </c>
      <c r="E588" s="231" t="s">
        <v>72</v>
      </c>
      <c r="F588" s="231" t="s">
        <v>73</v>
      </c>
      <c r="G588" s="231" t="s">
        <v>74</v>
      </c>
      <c r="H588" s="231" t="s">
        <v>69</v>
      </c>
      <c r="L588" s="231" t="s">
        <v>78</v>
      </c>
      <c r="M588" s="231" t="s">
        <v>515</v>
      </c>
      <c r="N588" s="231" t="s">
        <v>516</v>
      </c>
      <c r="O588" s="232" t="s">
        <v>517</v>
      </c>
      <c r="R588" s="231" t="s">
        <v>568</v>
      </c>
      <c r="S588" s="231" t="s">
        <v>565</v>
      </c>
      <c r="T588" s="231" t="s">
        <v>574</v>
      </c>
      <c r="U588" s="231" t="s">
        <v>573</v>
      </c>
      <c r="V588" s="231" t="s">
        <v>575</v>
      </c>
      <c r="W588" s="231" t="s">
        <v>572</v>
      </c>
      <c r="X588" s="231" t="s">
        <v>566</v>
      </c>
      <c r="Y588" s="231" t="s">
        <v>571</v>
      </c>
      <c r="AA588" s="231">
        <f t="shared" si="337"/>
        <v>0</v>
      </c>
      <c r="AB588" s="231">
        <f t="shared" si="338"/>
        <v>0</v>
      </c>
      <c r="AC588" s="231">
        <f t="shared" si="339"/>
        <v>1</v>
      </c>
      <c r="AD588" s="231">
        <f t="shared" si="340"/>
        <v>1</v>
      </c>
      <c r="AE588" s="231">
        <f t="shared" si="341"/>
        <v>0</v>
      </c>
      <c r="AF588" s="231">
        <f t="shared" si="342"/>
        <v>0</v>
      </c>
      <c r="AG588" s="231">
        <f t="shared" si="343"/>
        <v>0</v>
      </c>
      <c r="AH588" s="231">
        <f t="shared" si="344"/>
        <v>0</v>
      </c>
      <c r="AI588" s="231">
        <f t="shared" si="345"/>
        <v>1</v>
      </c>
      <c r="AJ588" s="231">
        <f t="shared" si="346"/>
        <v>1</v>
      </c>
      <c r="AK588" s="231">
        <f t="shared" si="347"/>
        <v>0</v>
      </c>
      <c r="AL588" s="231">
        <f t="shared" si="348"/>
        <v>0</v>
      </c>
      <c r="AM588" s="231">
        <f t="shared" si="349"/>
        <v>4</v>
      </c>
    </row>
    <row r="589" spans="4:39" x14ac:dyDescent="0.25">
      <c r="D589" s="231">
        <v>431</v>
      </c>
      <c r="E589" s="231" t="s">
        <v>72</v>
      </c>
      <c r="F589" s="231" t="s">
        <v>73</v>
      </c>
      <c r="G589" s="231" t="s">
        <v>74</v>
      </c>
      <c r="H589" s="231" t="s">
        <v>69</v>
      </c>
      <c r="K589" s="231" t="s">
        <v>77</v>
      </c>
      <c r="N589" s="231" t="s">
        <v>516</v>
      </c>
      <c r="O589" s="232" t="s">
        <v>517</v>
      </c>
      <c r="P589" s="231" t="s">
        <v>70</v>
      </c>
      <c r="R589" s="231" t="s">
        <v>573</v>
      </c>
      <c r="S589" s="231" t="s">
        <v>565</v>
      </c>
      <c r="T589" s="231" t="s">
        <v>574</v>
      </c>
      <c r="U589" s="231" t="s">
        <v>572</v>
      </c>
      <c r="V589" s="231" t="s">
        <v>575</v>
      </c>
      <c r="W589" s="231" t="s">
        <v>569</v>
      </c>
      <c r="X589" s="231" t="s">
        <v>570</v>
      </c>
      <c r="Y589" s="231" t="s">
        <v>571</v>
      </c>
      <c r="AA589" s="231">
        <f t="shared" si="337"/>
        <v>0</v>
      </c>
      <c r="AB589" s="231">
        <f t="shared" si="338"/>
        <v>0</v>
      </c>
      <c r="AC589" s="231">
        <f t="shared" si="339"/>
        <v>1</v>
      </c>
      <c r="AD589" s="231">
        <f t="shared" si="340"/>
        <v>1</v>
      </c>
      <c r="AE589" s="231">
        <f t="shared" si="341"/>
        <v>0</v>
      </c>
      <c r="AF589" s="231">
        <f t="shared" si="342"/>
        <v>0</v>
      </c>
      <c r="AG589" s="231">
        <f t="shared" si="343"/>
        <v>1</v>
      </c>
      <c r="AH589" s="231">
        <f t="shared" si="344"/>
        <v>0</v>
      </c>
      <c r="AI589" s="231">
        <f t="shared" si="345"/>
        <v>0</v>
      </c>
      <c r="AJ589" s="231">
        <f t="shared" si="346"/>
        <v>1</v>
      </c>
      <c r="AK589" s="231">
        <f t="shared" si="347"/>
        <v>0</v>
      </c>
      <c r="AL589" s="231">
        <f t="shared" si="348"/>
        <v>1</v>
      </c>
      <c r="AM589" s="231">
        <f t="shared" si="349"/>
        <v>5</v>
      </c>
    </row>
    <row r="590" spans="4:39" x14ac:dyDescent="0.25">
      <c r="D590" s="231">
        <v>432</v>
      </c>
      <c r="E590" s="231" t="s">
        <v>72</v>
      </c>
      <c r="F590" s="231" t="s">
        <v>73</v>
      </c>
      <c r="G590" s="231" t="s">
        <v>74</v>
      </c>
      <c r="H590" s="231" t="s">
        <v>69</v>
      </c>
      <c r="K590" s="231" t="s">
        <v>77</v>
      </c>
      <c r="M590" s="231" t="s">
        <v>515</v>
      </c>
      <c r="O590" s="232" t="s">
        <v>517</v>
      </c>
      <c r="P590" s="231" t="s">
        <v>70</v>
      </c>
      <c r="R590" s="231" t="s">
        <v>566</v>
      </c>
      <c r="S590" s="231" t="s">
        <v>569</v>
      </c>
      <c r="T590" s="231" t="s">
        <v>574</v>
      </c>
      <c r="U590" s="231" t="s">
        <v>573</v>
      </c>
      <c r="V590" s="231" t="s">
        <v>575</v>
      </c>
      <c r="W590" s="231" t="s">
        <v>572</v>
      </c>
      <c r="X590" s="231" t="s">
        <v>570</v>
      </c>
      <c r="Y590" s="231" t="s">
        <v>571</v>
      </c>
      <c r="AA590" s="231">
        <f t="shared" si="337"/>
        <v>0</v>
      </c>
      <c r="AB590" s="231">
        <f t="shared" si="338"/>
        <v>0</v>
      </c>
      <c r="AC590" s="231">
        <f t="shared" si="339"/>
        <v>1</v>
      </c>
      <c r="AD590" s="231">
        <f t="shared" si="340"/>
        <v>1</v>
      </c>
      <c r="AE590" s="231">
        <f t="shared" si="341"/>
        <v>0</v>
      </c>
      <c r="AF590" s="231">
        <f t="shared" si="342"/>
        <v>0</v>
      </c>
      <c r="AG590" s="231">
        <f t="shared" si="343"/>
        <v>1</v>
      </c>
      <c r="AH590" s="231">
        <f t="shared" si="344"/>
        <v>0</v>
      </c>
      <c r="AI590" s="231">
        <f t="shared" si="345"/>
        <v>1</v>
      </c>
      <c r="AJ590" s="231">
        <f t="shared" si="346"/>
        <v>0</v>
      </c>
      <c r="AK590" s="231">
        <f t="shared" si="347"/>
        <v>0</v>
      </c>
      <c r="AL590" s="231">
        <f t="shared" si="348"/>
        <v>1</v>
      </c>
      <c r="AM590" s="231">
        <f t="shared" si="349"/>
        <v>5</v>
      </c>
    </row>
    <row r="591" spans="4:39" x14ac:dyDescent="0.25">
      <c r="D591" s="231">
        <v>433</v>
      </c>
      <c r="E591" s="231" t="s">
        <v>72</v>
      </c>
      <c r="F591" s="231" t="s">
        <v>73</v>
      </c>
      <c r="G591" s="231" t="s">
        <v>74</v>
      </c>
      <c r="H591" s="231" t="s">
        <v>69</v>
      </c>
      <c r="K591" s="231" t="s">
        <v>77</v>
      </c>
      <c r="M591" s="231" t="s">
        <v>515</v>
      </c>
      <c r="N591" s="231" t="s">
        <v>516</v>
      </c>
      <c r="P591" s="231" t="s">
        <v>70</v>
      </c>
      <c r="R591" s="231" t="s">
        <v>573</v>
      </c>
      <c r="S591" s="231" t="s">
        <v>565</v>
      </c>
      <c r="T591" s="231" t="s">
        <v>574</v>
      </c>
      <c r="U591" s="231" t="s">
        <v>572</v>
      </c>
      <c r="V591" s="231" t="s">
        <v>575</v>
      </c>
      <c r="W591" s="231" t="s">
        <v>569</v>
      </c>
      <c r="X591" s="231" t="s">
        <v>570</v>
      </c>
      <c r="Y591" s="231" t="s">
        <v>566</v>
      </c>
      <c r="AA591" s="231">
        <f t="shared" si="337"/>
        <v>0</v>
      </c>
      <c r="AB591" s="231">
        <f t="shared" si="338"/>
        <v>0</v>
      </c>
      <c r="AC591" s="231">
        <f t="shared" si="339"/>
        <v>1</v>
      </c>
      <c r="AD591" s="231">
        <f t="shared" si="340"/>
        <v>1</v>
      </c>
      <c r="AE591" s="231">
        <f t="shared" si="341"/>
        <v>0</v>
      </c>
      <c r="AF591" s="231">
        <f t="shared" si="342"/>
        <v>0</v>
      </c>
      <c r="AG591" s="231">
        <f t="shared" si="343"/>
        <v>1</v>
      </c>
      <c r="AH591" s="231">
        <f t="shared" si="344"/>
        <v>0</v>
      </c>
      <c r="AI591" s="231">
        <f t="shared" si="345"/>
        <v>1</v>
      </c>
      <c r="AJ591" s="231">
        <f t="shared" si="346"/>
        <v>1</v>
      </c>
      <c r="AK591" s="231">
        <f t="shared" si="347"/>
        <v>0</v>
      </c>
      <c r="AL591" s="231">
        <f t="shared" si="348"/>
        <v>1</v>
      </c>
      <c r="AM591" s="231">
        <f t="shared" si="349"/>
        <v>6</v>
      </c>
    </row>
    <row r="592" spans="4:39" x14ac:dyDescent="0.25">
      <c r="D592" s="231">
        <v>434</v>
      </c>
      <c r="E592" s="231" t="s">
        <v>72</v>
      </c>
      <c r="F592" s="231" t="s">
        <v>73</v>
      </c>
      <c r="G592" s="231" t="s">
        <v>74</v>
      </c>
      <c r="H592" s="231" t="s">
        <v>69</v>
      </c>
      <c r="K592" s="231" t="s">
        <v>77</v>
      </c>
      <c r="M592" s="231" t="s">
        <v>515</v>
      </c>
      <c r="N592" s="231" t="s">
        <v>516</v>
      </c>
      <c r="O592" s="232" t="s">
        <v>517</v>
      </c>
      <c r="R592" s="231" t="s">
        <v>573</v>
      </c>
      <c r="S592" s="231" t="s">
        <v>565</v>
      </c>
      <c r="T592" s="231" t="s">
        <v>574</v>
      </c>
      <c r="U592" s="231" t="s">
        <v>572</v>
      </c>
      <c r="V592" s="231" t="s">
        <v>575</v>
      </c>
      <c r="W592" s="231" t="s">
        <v>569</v>
      </c>
      <c r="X592" s="231" t="s">
        <v>566</v>
      </c>
      <c r="Y592" s="231" t="s">
        <v>571</v>
      </c>
      <c r="AA592" s="231">
        <f t="shared" si="337"/>
        <v>0</v>
      </c>
      <c r="AB592" s="231">
        <f t="shared" si="338"/>
        <v>0</v>
      </c>
      <c r="AC592" s="231">
        <f t="shared" si="339"/>
        <v>1</v>
      </c>
      <c r="AD592" s="231">
        <f t="shared" si="340"/>
        <v>1</v>
      </c>
      <c r="AE592" s="231">
        <f t="shared" si="341"/>
        <v>0</v>
      </c>
      <c r="AF592" s="231">
        <f t="shared" si="342"/>
        <v>0</v>
      </c>
      <c r="AG592" s="231">
        <f t="shared" si="343"/>
        <v>1</v>
      </c>
      <c r="AH592" s="231">
        <f t="shared" si="344"/>
        <v>0</v>
      </c>
      <c r="AI592" s="231">
        <f t="shared" si="345"/>
        <v>1</v>
      </c>
      <c r="AJ592" s="231">
        <f t="shared" si="346"/>
        <v>1</v>
      </c>
      <c r="AK592" s="231">
        <f t="shared" si="347"/>
        <v>0</v>
      </c>
      <c r="AL592" s="231">
        <f t="shared" si="348"/>
        <v>0</v>
      </c>
      <c r="AM592" s="231">
        <f t="shared" si="349"/>
        <v>5</v>
      </c>
    </row>
    <row r="593" spans="4:39" x14ac:dyDescent="0.25">
      <c r="D593" s="231">
        <v>435</v>
      </c>
      <c r="E593" s="231" t="s">
        <v>72</v>
      </c>
      <c r="F593" s="231" t="s">
        <v>73</v>
      </c>
      <c r="G593" s="231" t="s">
        <v>74</v>
      </c>
      <c r="H593" s="231" t="s">
        <v>69</v>
      </c>
      <c r="K593" s="231" t="s">
        <v>77</v>
      </c>
      <c r="L593" s="231" t="s">
        <v>78</v>
      </c>
      <c r="O593" s="232" t="s">
        <v>517</v>
      </c>
      <c r="P593" s="231" t="s">
        <v>70</v>
      </c>
      <c r="R593" s="231" t="s">
        <v>568</v>
      </c>
      <c r="S593" s="231" t="s">
        <v>569</v>
      </c>
      <c r="T593" s="231" t="s">
        <v>574</v>
      </c>
      <c r="U593" s="231" t="s">
        <v>573</v>
      </c>
      <c r="V593" s="231" t="s">
        <v>575</v>
      </c>
      <c r="W593" s="231" t="s">
        <v>572</v>
      </c>
      <c r="X593" s="231" t="s">
        <v>570</v>
      </c>
      <c r="Y593" s="231" t="s">
        <v>571</v>
      </c>
      <c r="AA593" s="231">
        <f t="shared" si="337"/>
        <v>0</v>
      </c>
      <c r="AB593" s="231">
        <f t="shared" si="338"/>
        <v>0</v>
      </c>
      <c r="AC593" s="231">
        <f t="shared" si="339"/>
        <v>1</v>
      </c>
      <c r="AD593" s="231">
        <f t="shared" si="340"/>
        <v>1</v>
      </c>
      <c r="AE593" s="231">
        <f t="shared" si="341"/>
        <v>0</v>
      </c>
      <c r="AF593" s="231">
        <f t="shared" si="342"/>
        <v>0</v>
      </c>
      <c r="AG593" s="231">
        <f t="shared" si="343"/>
        <v>1</v>
      </c>
      <c r="AH593" s="231">
        <f t="shared" si="344"/>
        <v>0</v>
      </c>
      <c r="AI593" s="231">
        <f t="shared" si="345"/>
        <v>0</v>
      </c>
      <c r="AJ593" s="231">
        <f t="shared" si="346"/>
        <v>0</v>
      </c>
      <c r="AK593" s="231">
        <f t="shared" si="347"/>
        <v>0</v>
      </c>
      <c r="AL593" s="231">
        <f t="shared" si="348"/>
        <v>1</v>
      </c>
      <c r="AM593" s="231">
        <f t="shared" si="349"/>
        <v>4</v>
      </c>
    </row>
    <row r="594" spans="4:39" x14ac:dyDescent="0.25">
      <c r="D594" s="231">
        <v>436</v>
      </c>
      <c r="E594" s="231" t="s">
        <v>72</v>
      </c>
      <c r="F594" s="231" t="s">
        <v>73</v>
      </c>
      <c r="G594" s="231" t="s">
        <v>74</v>
      </c>
      <c r="H594" s="231" t="s">
        <v>69</v>
      </c>
      <c r="K594" s="231" t="s">
        <v>77</v>
      </c>
      <c r="L594" s="231" t="s">
        <v>78</v>
      </c>
      <c r="N594" s="231" t="s">
        <v>516</v>
      </c>
      <c r="P594" s="231" t="s">
        <v>70</v>
      </c>
      <c r="R594" s="231" t="s">
        <v>568</v>
      </c>
      <c r="S594" s="231" t="s">
        <v>569</v>
      </c>
      <c r="T594" s="231" t="s">
        <v>574</v>
      </c>
      <c r="U594" s="231" t="s">
        <v>573</v>
      </c>
      <c r="V594" s="231" t="s">
        <v>575</v>
      </c>
      <c r="W594" s="231" t="s">
        <v>572</v>
      </c>
      <c r="X594" s="231" t="s">
        <v>570</v>
      </c>
      <c r="Y594" s="231" t="s">
        <v>565</v>
      </c>
      <c r="AA594" s="231">
        <f t="shared" si="337"/>
        <v>0</v>
      </c>
      <c r="AB594" s="231">
        <f t="shared" si="338"/>
        <v>0</v>
      </c>
      <c r="AC594" s="231">
        <f t="shared" si="339"/>
        <v>1</v>
      </c>
      <c r="AD594" s="231">
        <f t="shared" si="340"/>
        <v>1</v>
      </c>
      <c r="AE594" s="231">
        <f t="shared" si="341"/>
        <v>0</v>
      </c>
      <c r="AF594" s="231">
        <f t="shared" si="342"/>
        <v>0</v>
      </c>
      <c r="AG594" s="231">
        <f t="shared" si="343"/>
        <v>1</v>
      </c>
      <c r="AH594" s="231">
        <f t="shared" si="344"/>
        <v>0</v>
      </c>
      <c r="AI594" s="231">
        <f t="shared" si="345"/>
        <v>0</v>
      </c>
      <c r="AJ594" s="231">
        <f t="shared" si="346"/>
        <v>1</v>
      </c>
      <c r="AK594" s="231">
        <f t="shared" si="347"/>
        <v>0</v>
      </c>
      <c r="AL594" s="231">
        <f t="shared" si="348"/>
        <v>1</v>
      </c>
      <c r="AM594" s="231">
        <f t="shared" si="349"/>
        <v>5</v>
      </c>
    </row>
    <row r="595" spans="4:39" x14ac:dyDescent="0.25">
      <c r="D595" s="231">
        <v>437</v>
      </c>
      <c r="E595" s="231" t="s">
        <v>72</v>
      </c>
      <c r="F595" s="231" t="s">
        <v>73</v>
      </c>
      <c r="G595" s="231" t="s">
        <v>74</v>
      </c>
      <c r="H595" s="231" t="s">
        <v>69</v>
      </c>
      <c r="K595" s="231" t="s">
        <v>77</v>
      </c>
      <c r="L595" s="231" t="s">
        <v>78</v>
      </c>
      <c r="N595" s="231" t="s">
        <v>516</v>
      </c>
      <c r="O595" s="232" t="s">
        <v>517</v>
      </c>
      <c r="R595" s="231" t="s">
        <v>568</v>
      </c>
      <c r="S595" s="231" t="s">
        <v>569</v>
      </c>
      <c r="T595" s="231" t="s">
        <v>574</v>
      </c>
      <c r="U595" s="231" t="s">
        <v>573</v>
      </c>
      <c r="V595" s="231" t="s">
        <v>575</v>
      </c>
      <c r="W595" s="231" t="s">
        <v>572</v>
      </c>
      <c r="X595" s="231" t="s">
        <v>565</v>
      </c>
      <c r="Y595" s="231" t="s">
        <v>571</v>
      </c>
      <c r="AA595" s="231">
        <f t="shared" si="337"/>
        <v>0</v>
      </c>
      <c r="AB595" s="231">
        <f t="shared" si="338"/>
        <v>0</v>
      </c>
      <c r="AC595" s="231">
        <f t="shared" si="339"/>
        <v>1</v>
      </c>
      <c r="AD595" s="231">
        <f t="shared" si="340"/>
        <v>1</v>
      </c>
      <c r="AE595" s="231">
        <f t="shared" si="341"/>
        <v>0</v>
      </c>
      <c r="AF595" s="231">
        <f t="shared" si="342"/>
        <v>0</v>
      </c>
      <c r="AG595" s="231">
        <f t="shared" si="343"/>
        <v>1</v>
      </c>
      <c r="AH595" s="231">
        <f t="shared" si="344"/>
        <v>0</v>
      </c>
      <c r="AI595" s="231">
        <f t="shared" si="345"/>
        <v>0</v>
      </c>
      <c r="AJ595" s="231">
        <f t="shared" si="346"/>
        <v>1</v>
      </c>
      <c r="AK595" s="231">
        <f t="shared" si="347"/>
        <v>0</v>
      </c>
      <c r="AL595" s="231">
        <f t="shared" si="348"/>
        <v>0</v>
      </c>
      <c r="AM595" s="231">
        <f t="shared" si="349"/>
        <v>4</v>
      </c>
    </row>
    <row r="596" spans="4:39" x14ac:dyDescent="0.25">
      <c r="D596" s="231">
        <v>438</v>
      </c>
      <c r="E596" s="231" t="s">
        <v>72</v>
      </c>
      <c r="F596" s="231" t="s">
        <v>73</v>
      </c>
      <c r="G596" s="231" t="s">
        <v>74</v>
      </c>
      <c r="H596" s="231" t="s">
        <v>69</v>
      </c>
      <c r="K596" s="231" t="s">
        <v>77</v>
      </c>
      <c r="L596" s="231" t="s">
        <v>78</v>
      </c>
      <c r="M596" s="231" t="s">
        <v>515</v>
      </c>
      <c r="P596" s="231" t="s">
        <v>70</v>
      </c>
      <c r="R596" s="231" t="s">
        <v>568</v>
      </c>
      <c r="S596" s="231" t="s">
        <v>569</v>
      </c>
      <c r="T596" s="231" t="s">
        <v>574</v>
      </c>
      <c r="U596" s="231" t="s">
        <v>573</v>
      </c>
      <c r="V596" s="231" t="s">
        <v>575</v>
      </c>
      <c r="W596" s="231" t="s">
        <v>572</v>
      </c>
      <c r="X596" s="231" t="s">
        <v>570</v>
      </c>
      <c r="Y596" s="231" t="s">
        <v>566</v>
      </c>
      <c r="AA596" s="231">
        <f t="shared" si="337"/>
        <v>0</v>
      </c>
      <c r="AB596" s="231">
        <f t="shared" si="338"/>
        <v>0</v>
      </c>
      <c r="AC596" s="231">
        <f t="shared" si="339"/>
        <v>1</v>
      </c>
      <c r="AD596" s="231">
        <f t="shared" si="340"/>
        <v>1</v>
      </c>
      <c r="AE596" s="231">
        <f t="shared" si="341"/>
        <v>0</v>
      </c>
      <c r="AF596" s="231">
        <f t="shared" si="342"/>
        <v>0</v>
      </c>
      <c r="AG596" s="231">
        <f t="shared" si="343"/>
        <v>1</v>
      </c>
      <c r="AH596" s="231">
        <f t="shared" si="344"/>
        <v>0</v>
      </c>
      <c r="AI596" s="231">
        <f t="shared" si="345"/>
        <v>1</v>
      </c>
      <c r="AJ596" s="231">
        <f t="shared" si="346"/>
        <v>0</v>
      </c>
      <c r="AK596" s="231">
        <f t="shared" si="347"/>
        <v>0</v>
      </c>
      <c r="AL596" s="231">
        <f t="shared" si="348"/>
        <v>1</v>
      </c>
      <c r="AM596" s="231">
        <f t="shared" si="349"/>
        <v>5</v>
      </c>
    </row>
    <row r="597" spans="4:39" x14ac:dyDescent="0.25">
      <c r="D597" s="231">
        <v>439</v>
      </c>
      <c r="E597" s="231" t="s">
        <v>72</v>
      </c>
      <c r="F597" s="231" t="s">
        <v>73</v>
      </c>
      <c r="G597" s="231" t="s">
        <v>74</v>
      </c>
      <c r="H597" s="231" t="s">
        <v>69</v>
      </c>
      <c r="K597" s="231" t="s">
        <v>77</v>
      </c>
      <c r="L597" s="231" t="s">
        <v>78</v>
      </c>
      <c r="M597" s="231" t="s">
        <v>515</v>
      </c>
      <c r="O597" s="232" t="s">
        <v>517</v>
      </c>
      <c r="R597" s="231" t="s">
        <v>568</v>
      </c>
      <c r="S597" s="231" t="s">
        <v>569</v>
      </c>
      <c r="T597" s="231" t="s">
        <v>574</v>
      </c>
      <c r="U597" s="231" t="s">
        <v>573</v>
      </c>
      <c r="V597" s="231" t="s">
        <v>575</v>
      </c>
      <c r="W597" s="231" t="s">
        <v>572</v>
      </c>
      <c r="X597" s="231" t="s">
        <v>566</v>
      </c>
      <c r="Y597" s="231" t="s">
        <v>571</v>
      </c>
      <c r="AA597" s="231">
        <f t="shared" si="337"/>
        <v>0</v>
      </c>
      <c r="AB597" s="231">
        <f t="shared" si="338"/>
        <v>0</v>
      </c>
      <c r="AC597" s="231">
        <f t="shared" si="339"/>
        <v>1</v>
      </c>
      <c r="AD597" s="231">
        <f t="shared" si="340"/>
        <v>1</v>
      </c>
      <c r="AE597" s="231">
        <f t="shared" si="341"/>
        <v>0</v>
      </c>
      <c r="AF597" s="231">
        <f t="shared" si="342"/>
        <v>0</v>
      </c>
      <c r="AG597" s="231">
        <f t="shared" si="343"/>
        <v>1</v>
      </c>
      <c r="AH597" s="231">
        <f t="shared" si="344"/>
        <v>0</v>
      </c>
      <c r="AI597" s="231">
        <f t="shared" si="345"/>
        <v>1</v>
      </c>
      <c r="AJ597" s="231">
        <f t="shared" si="346"/>
        <v>0</v>
      </c>
      <c r="AK597" s="231">
        <f t="shared" si="347"/>
        <v>0</v>
      </c>
      <c r="AL597" s="231">
        <f t="shared" si="348"/>
        <v>0</v>
      </c>
      <c r="AM597" s="231">
        <f t="shared" si="349"/>
        <v>4</v>
      </c>
    </row>
    <row r="598" spans="4:39" x14ac:dyDescent="0.25">
      <c r="D598" s="231">
        <v>440</v>
      </c>
      <c r="E598" s="231" t="s">
        <v>72</v>
      </c>
      <c r="F598" s="231" t="s">
        <v>73</v>
      </c>
      <c r="G598" s="231" t="s">
        <v>74</v>
      </c>
      <c r="H598" s="231" t="s">
        <v>69</v>
      </c>
      <c r="K598" s="231" t="s">
        <v>77</v>
      </c>
      <c r="L598" s="231" t="s">
        <v>78</v>
      </c>
      <c r="M598" s="231" t="s">
        <v>515</v>
      </c>
      <c r="N598" s="231" t="s">
        <v>516</v>
      </c>
      <c r="R598" s="231" t="s">
        <v>568</v>
      </c>
      <c r="S598" s="231" t="s">
        <v>569</v>
      </c>
      <c r="T598" s="231" t="s">
        <v>574</v>
      </c>
      <c r="U598" s="231" t="s">
        <v>573</v>
      </c>
      <c r="V598" s="231" t="s">
        <v>575</v>
      </c>
      <c r="W598" s="231" t="s">
        <v>572</v>
      </c>
      <c r="X598" s="231" t="s">
        <v>566</v>
      </c>
      <c r="Y598" s="231" t="s">
        <v>565</v>
      </c>
      <c r="AA598" s="231">
        <f t="shared" si="337"/>
        <v>0</v>
      </c>
      <c r="AB598" s="231">
        <f t="shared" si="338"/>
        <v>0</v>
      </c>
      <c r="AC598" s="231">
        <f t="shared" si="339"/>
        <v>1</v>
      </c>
      <c r="AD598" s="231">
        <f t="shared" si="340"/>
        <v>1</v>
      </c>
      <c r="AE598" s="231">
        <f t="shared" si="341"/>
        <v>0</v>
      </c>
      <c r="AF598" s="231">
        <f t="shared" si="342"/>
        <v>0</v>
      </c>
      <c r="AG598" s="231">
        <f t="shared" si="343"/>
        <v>1</v>
      </c>
      <c r="AH598" s="231">
        <f t="shared" si="344"/>
        <v>0</v>
      </c>
      <c r="AI598" s="231">
        <f t="shared" si="345"/>
        <v>1</v>
      </c>
      <c r="AJ598" s="231">
        <f t="shared" si="346"/>
        <v>1</v>
      </c>
      <c r="AK598" s="231">
        <f t="shared" si="347"/>
        <v>0</v>
      </c>
      <c r="AL598" s="231">
        <f t="shared" si="348"/>
        <v>0</v>
      </c>
      <c r="AM598" s="231">
        <f t="shared" si="349"/>
        <v>5</v>
      </c>
    </row>
    <row r="599" spans="4:39" x14ac:dyDescent="0.25">
      <c r="D599" s="231">
        <v>441</v>
      </c>
      <c r="E599" s="231" t="s">
        <v>72</v>
      </c>
      <c r="F599" s="231" t="s">
        <v>73</v>
      </c>
      <c r="G599" s="231" t="s">
        <v>74</v>
      </c>
      <c r="H599" s="231" t="s">
        <v>69</v>
      </c>
      <c r="J599" s="231" t="s">
        <v>75</v>
      </c>
      <c r="N599" s="231" t="s">
        <v>516</v>
      </c>
      <c r="O599" s="232" t="s">
        <v>517</v>
      </c>
      <c r="P599" s="231" t="s">
        <v>70</v>
      </c>
      <c r="R599" s="231" t="s">
        <v>573</v>
      </c>
      <c r="S599" s="231" t="s">
        <v>565</v>
      </c>
      <c r="T599" s="231" t="s">
        <v>574</v>
      </c>
      <c r="U599" s="231" t="s">
        <v>572</v>
      </c>
      <c r="V599" s="231" t="s">
        <v>575</v>
      </c>
      <c r="W599" s="231" t="s">
        <v>567</v>
      </c>
      <c r="X599" s="231" t="s">
        <v>570</v>
      </c>
      <c r="Y599" s="231" t="s">
        <v>571</v>
      </c>
      <c r="AA599" s="231">
        <f t="shared" si="337"/>
        <v>0</v>
      </c>
      <c r="AB599" s="231">
        <f t="shared" si="338"/>
        <v>0</v>
      </c>
      <c r="AC599" s="231">
        <f t="shared" si="339"/>
        <v>1</v>
      </c>
      <c r="AD599" s="231">
        <f t="shared" si="340"/>
        <v>1</v>
      </c>
      <c r="AE599" s="231">
        <f t="shared" si="341"/>
        <v>0</v>
      </c>
      <c r="AF599" s="231">
        <f t="shared" si="342"/>
        <v>1</v>
      </c>
      <c r="AG599" s="231">
        <f t="shared" si="343"/>
        <v>0</v>
      </c>
      <c r="AH599" s="231">
        <f t="shared" si="344"/>
        <v>0</v>
      </c>
      <c r="AI599" s="231">
        <f t="shared" si="345"/>
        <v>0</v>
      </c>
      <c r="AJ599" s="231">
        <f t="shared" si="346"/>
        <v>1</v>
      </c>
      <c r="AK599" s="231">
        <f t="shared" si="347"/>
        <v>0</v>
      </c>
      <c r="AL599" s="231">
        <f t="shared" si="348"/>
        <v>1</v>
      </c>
      <c r="AM599" s="231">
        <f t="shared" si="349"/>
        <v>5</v>
      </c>
    </row>
    <row r="600" spans="4:39" x14ac:dyDescent="0.25">
      <c r="D600" s="231">
        <v>442</v>
      </c>
      <c r="E600" s="231" t="s">
        <v>72</v>
      </c>
      <c r="F600" s="231" t="s">
        <v>73</v>
      </c>
      <c r="G600" s="231" t="s">
        <v>74</v>
      </c>
      <c r="H600" s="231" t="s">
        <v>69</v>
      </c>
      <c r="J600" s="231" t="s">
        <v>75</v>
      </c>
      <c r="M600" s="231" t="s">
        <v>515</v>
      </c>
      <c r="O600" s="232" t="s">
        <v>517</v>
      </c>
      <c r="P600" s="231" t="s">
        <v>70</v>
      </c>
      <c r="R600" s="231" t="s">
        <v>573</v>
      </c>
      <c r="S600" s="231" t="s">
        <v>566</v>
      </c>
      <c r="T600" s="231" t="s">
        <v>574</v>
      </c>
      <c r="U600" s="231" t="s">
        <v>572</v>
      </c>
      <c r="V600" s="231" t="s">
        <v>575</v>
      </c>
      <c r="W600" s="231" t="s">
        <v>567</v>
      </c>
      <c r="X600" s="231" t="s">
        <v>570</v>
      </c>
      <c r="Y600" s="231" t="s">
        <v>571</v>
      </c>
      <c r="AA600" s="231">
        <f t="shared" si="337"/>
        <v>0</v>
      </c>
      <c r="AB600" s="231">
        <f t="shared" si="338"/>
        <v>0</v>
      </c>
      <c r="AC600" s="231">
        <f t="shared" si="339"/>
        <v>1</v>
      </c>
      <c r="AD600" s="231">
        <f t="shared" si="340"/>
        <v>1</v>
      </c>
      <c r="AE600" s="231">
        <f t="shared" si="341"/>
        <v>0</v>
      </c>
      <c r="AF600" s="231">
        <f t="shared" si="342"/>
        <v>1</v>
      </c>
      <c r="AG600" s="231">
        <f t="shared" si="343"/>
        <v>0</v>
      </c>
      <c r="AH600" s="231">
        <f t="shared" si="344"/>
        <v>0</v>
      </c>
      <c r="AI600" s="231">
        <f t="shared" si="345"/>
        <v>1</v>
      </c>
      <c r="AJ600" s="231">
        <f t="shared" si="346"/>
        <v>0</v>
      </c>
      <c r="AK600" s="231">
        <f t="shared" si="347"/>
        <v>0</v>
      </c>
      <c r="AL600" s="231">
        <f t="shared" si="348"/>
        <v>1</v>
      </c>
      <c r="AM600" s="231">
        <f t="shared" si="349"/>
        <v>5</v>
      </c>
    </row>
    <row r="601" spans="4:39" x14ac:dyDescent="0.25">
      <c r="D601" s="231">
        <v>443</v>
      </c>
      <c r="E601" s="231" t="s">
        <v>72</v>
      </c>
      <c r="F601" s="231" t="s">
        <v>73</v>
      </c>
      <c r="G601" s="231" t="s">
        <v>74</v>
      </c>
      <c r="H601" s="231" t="s">
        <v>69</v>
      </c>
      <c r="J601" s="231" t="s">
        <v>75</v>
      </c>
      <c r="M601" s="231" t="s">
        <v>515</v>
      </c>
      <c r="N601" s="231" t="s">
        <v>516</v>
      </c>
      <c r="P601" s="231" t="s">
        <v>70</v>
      </c>
      <c r="R601" s="231" t="s">
        <v>573</v>
      </c>
      <c r="S601" s="231" t="s">
        <v>565</v>
      </c>
      <c r="T601" s="231" t="s">
        <v>574</v>
      </c>
      <c r="U601" s="231" t="s">
        <v>572</v>
      </c>
      <c r="V601" s="231" t="s">
        <v>575</v>
      </c>
      <c r="W601" s="231" t="s">
        <v>567</v>
      </c>
      <c r="X601" s="231" t="s">
        <v>570</v>
      </c>
      <c r="Y601" s="231" t="s">
        <v>566</v>
      </c>
      <c r="AA601" s="231">
        <f t="shared" si="337"/>
        <v>0</v>
      </c>
      <c r="AB601" s="231">
        <f t="shared" si="338"/>
        <v>0</v>
      </c>
      <c r="AC601" s="231">
        <f t="shared" si="339"/>
        <v>1</v>
      </c>
      <c r="AD601" s="231">
        <f t="shared" si="340"/>
        <v>1</v>
      </c>
      <c r="AE601" s="231">
        <f t="shared" si="341"/>
        <v>0</v>
      </c>
      <c r="AF601" s="231">
        <f t="shared" si="342"/>
        <v>1</v>
      </c>
      <c r="AG601" s="231">
        <f t="shared" si="343"/>
        <v>0</v>
      </c>
      <c r="AH601" s="231">
        <f t="shared" si="344"/>
        <v>0</v>
      </c>
      <c r="AI601" s="231">
        <f t="shared" si="345"/>
        <v>1</v>
      </c>
      <c r="AJ601" s="231">
        <f t="shared" si="346"/>
        <v>1</v>
      </c>
      <c r="AK601" s="231">
        <f t="shared" si="347"/>
        <v>0</v>
      </c>
      <c r="AL601" s="231">
        <f t="shared" si="348"/>
        <v>1</v>
      </c>
      <c r="AM601" s="231">
        <f t="shared" si="349"/>
        <v>6</v>
      </c>
    </row>
    <row r="602" spans="4:39" x14ac:dyDescent="0.25">
      <c r="D602" s="231">
        <v>444</v>
      </c>
      <c r="E602" s="231" t="s">
        <v>72</v>
      </c>
      <c r="F602" s="231" t="s">
        <v>73</v>
      </c>
      <c r="G602" s="231" t="s">
        <v>74</v>
      </c>
      <c r="H602" s="231" t="s">
        <v>69</v>
      </c>
      <c r="J602" s="231" t="s">
        <v>75</v>
      </c>
      <c r="M602" s="231" t="s">
        <v>515</v>
      </c>
      <c r="N602" s="231" t="s">
        <v>516</v>
      </c>
      <c r="O602" s="232" t="s">
        <v>517</v>
      </c>
      <c r="R602" s="231" t="s">
        <v>573</v>
      </c>
      <c r="S602" s="231" t="s">
        <v>565</v>
      </c>
      <c r="T602" s="231" t="s">
        <v>574</v>
      </c>
      <c r="U602" s="231" t="s">
        <v>572</v>
      </c>
      <c r="V602" s="231" t="s">
        <v>575</v>
      </c>
      <c r="W602" s="231" t="s">
        <v>567</v>
      </c>
      <c r="X602" s="231" t="s">
        <v>566</v>
      </c>
      <c r="Y602" s="231" t="s">
        <v>571</v>
      </c>
      <c r="AA602" s="231">
        <f t="shared" si="337"/>
        <v>0</v>
      </c>
      <c r="AB602" s="231">
        <f t="shared" si="338"/>
        <v>0</v>
      </c>
      <c r="AC602" s="231">
        <f t="shared" si="339"/>
        <v>1</v>
      </c>
      <c r="AD602" s="231">
        <f t="shared" si="340"/>
        <v>1</v>
      </c>
      <c r="AE602" s="231">
        <f t="shared" si="341"/>
        <v>0</v>
      </c>
      <c r="AF602" s="231">
        <f t="shared" si="342"/>
        <v>1</v>
      </c>
      <c r="AG602" s="231">
        <f t="shared" si="343"/>
        <v>0</v>
      </c>
      <c r="AH602" s="231">
        <f t="shared" si="344"/>
        <v>0</v>
      </c>
      <c r="AI602" s="231">
        <f t="shared" si="345"/>
        <v>1</v>
      </c>
      <c r="AJ602" s="231">
        <f t="shared" si="346"/>
        <v>1</v>
      </c>
      <c r="AK602" s="231">
        <f t="shared" si="347"/>
        <v>0</v>
      </c>
      <c r="AL602" s="231">
        <f t="shared" si="348"/>
        <v>0</v>
      </c>
      <c r="AM602" s="231">
        <f t="shared" si="349"/>
        <v>5</v>
      </c>
    </row>
    <row r="603" spans="4:39" x14ac:dyDescent="0.25">
      <c r="D603" s="231">
        <v>445</v>
      </c>
      <c r="E603" s="231" t="s">
        <v>72</v>
      </c>
      <c r="F603" s="231" t="s">
        <v>73</v>
      </c>
      <c r="G603" s="231" t="s">
        <v>74</v>
      </c>
      <c r="H603" s="231" t="s">
        <v>69</v>
      </c>
      <c r="J603" s="231" t="s">
        <v>75</v>
      </c>
      <c r="L603" s="231" t="s">
        <v>78</v>
      </c>
      <c r="O603" s="232" t="s">
        <v>517</v>
      </c>
      <c r="P603" s="231" t="s">
        <v>70</v>
      </c>
      <c r="R603" s="231" t="s">
        <v>568</v>
      </c>
      <c r="S603" s="231" t="s">
        <v>567</v>
      </c>
      <c r="T603" s="231" t="s">
        <v>574</v>
      </c>
      <c r="U603" s="231" t="s">
        <v>573</v>
      </c>
      <c r="V603" s="231" t="s">
        <v>575</v>
      </c>
      <c r="W603" s="231" t="s">
        <v>572</v>
      </c>
      <c r="X603" s="231" t="s">
        <v>570</v>
      </c>
      <c r="Y603" s="231" t="s">
        <v>571</v>
      </c>
      <c r="AA603" s="231">
        <f t="shared" si="337"/>
        <v>0</v>
      </c>
      <c r="AB603" s="231">
        <f t="shared" si="338"/>
        <v>0</v>
      </c>
      <c r="AC603" s="231">
        <f t="shared" si="339"/>
        <v>1</v>
      </c>
      <c r="AD603" s="231">
        <f t="shared" si="340"/>
        <v>1</v>
      </c>
      <c r="AE603" s="231">
        <f t="shared" si="341"/>
        <v>0</v>
      </c>
      <c r="AF603" s="231">
        <f t="shared" si="342"/>
        <v>1</v>
      </c>
      <c r="AG603" s="231">
        <f t="shared" si="343"/>
        <v>0</v>
      </c>
      <c r="AH603" s="231">
        <f t="shared" si="344"/>
        <v>0</v>
      </c>
      <c r="AI603" s="231">
        <f t="shared" si="345"/>
        <v>0</v>
      </c>
      <c r="AJ603" s="231">
        <f t="shared" si="346"/>
        <v>0</v>
      </c>
      <c r="AK603" s="231">
        <f t="shared" si="347"/>
        <v>0</v>
      </c>
      <c r="AL603" s="231">
        <f t="shared" si="348"/>
        <v>1</v>
      </c>
      <c r="AM603" s="231">
        <f t="shared" si="349"/>
        <v>4</v>
      </c>
    </row>
    <row r="604" spans="4:39" x14ac:dyDescent="0.25">
      <c r="D604" s="231">
        <v>446</v>
      </c>
      <c r="E604" s="231" t="s">
        <v>72</v>
      </c>
      <c r="F604" s="231" t="s">
        <v>73</v>
      </c>
      <c r="G604" s="231" t="s">
        <v>74</v>
      </c>
      <c r="H604" s="231" t="s">
        <v>69</v>
      </c>
      <c r="J604" s="231" t="s">
        <v>75</v>
      </c>
      <c r="L604" s="231" t="s">
        <v>78</v>
      </c>
      <c r="N604" s="231" t="s">
        <v>516</v>
      </c>
      <c r="P604" s="231" t="s">
        <v>70</v>
      </c>
      <c r="R604" s="231" t="s">
        <v>573</v>
      </c>
      <c r="S604" s="231" t="s">
        <v>565</v>
      </c>
      <c r="T604" s="231" t="s">
        <v>574</v>
      </c>
      <c r="U604" s="231" t="s">
        <v>572</v>
      </c>
      <c r="V604" s="231" t="s">
        <v>575</v>
      </c>
      <c r="W604" s="231" t="s">
        <v>567</v>
      </c>
      <c r="X604" s="231" t="s">
        <v>570</v>
      </c>
      <c r="Y604" s="231" t="s">
        <v>568</v>
      </c>
      <c r="AA604" s="231">
        <f t="shared" si="337"/>
        <v>0</v>
      </c>
      <c r="AB604" s="231">
        <f t="shared" si="338"/>
        <v>0</v>
      </c>
      <c r="AC604" s="231">
        <f t="shared" si="339"/>
        <v>1</v>
      </c>
      <c r="AD604" s="231">
        <f t="shared" si="340"/>
        <v>1</v>
      </c>
      <c r="AE604" s="231">
        <f t="shared" si="341"/>
        <v>0</v>
      </c>
      <c r="AF604" s="231">
        <f t="shared" si="342"/>
        <v>1</v>
      </c>
      <c r="AG604" s="231">
        <f t="shared" si="343"/>
        <v>0</v>
      </c>
      <c r="AH604" s="231">
        <f t="shared" si="344"/>
        <v>0</v>
      </c>
      <c r="AI604" s="231">
        <f t="shared" si="345"/>
        <v>0</v>
      </c>
      <c r="AJ604" s="231">
        <f t="shared" si="346"/>
        <v>1</v>
      </c>
      <c r="AK604" s="231">
        <f t="shared" si="347"/>
        <v>0</v>
      </c>
      <c r="AL604" s="231">
        <f t="shared" si="348"/>
        <v>1</v>
      </c>
      <c r="AM604" s="231">
        <f t="shared" si="349"/>
        <v>5</v>
      </c>
    </row>
    <row r="605" spans="4:39" x14ac:dyDescent="0.25">
      <c r="D605" s="231">
        <v>447</v>
      </c>
      <c r="E605" s="231" t="s">
        <v>72</v>
      </c>
      <c r="F605" s="231" t="s">
        <v>73</v>
      </c>
      <c r="G605" s="231" t="s">
        <v>74</v>
      </c>
      <c r="H605" s="231" t="s">
        <v>69</v>
      </c>
      <c r="J605" s="231" t="s">
        <v>75</v>
      </c>
      <c r="L605" s="231" t="s">
        <v>78</v>
      </c>
      <c r="N605" s="231" t="s">
        <v>516</v>
      </c>
      <c r="O605" s="232" t="s">
        <v>517</v>
      </c>
      <c r="R605" s="231" t="s">
        <v>568</v>
      </c>
      <c r="S605" s="231" t="s">
        <v>565</v>
      </c>
      <c r="T605" s="231" t="s">
        <v>574</v>
      </c>
      <c r="U605" s="231" t="s">
        <v>573</v>
      </c>
      <c r="V605" s="231" t="s">
        <v>575</v>
      </c>
      <c r="W605" s="231" t="s">
        <v>567</v>
      </c>
      <c r="X605" s="231" t="s">
        <v>572</v>
      </c>
      <c r="Y605" s="231" t="s">
        <v>571</v>
      </c>
      <c r="AA605" s="231">
        <f t="shared" si="337"/>
        <v>0</v>
      </c>
      <c r="AB605" s="231">
        <f t="shared" si="338"/>
        <v>0</v>
      </c>
      <c r="AC605" s="231">
        <f t="shared" si="339"/>
        <v>1</v>
      </c>
      <c r="AD605" s="231">
        <f t="shared" si="340"/>
        <v>1</v>
      </c>
      <c r="AE605" s="231">
        <f t="shared" si="341"/>
        <v>0</v>
      </c>
      <c r="AF605" s="231">
        <f t="shared" si="342"/>
        <v>1</v>
      </c>
      <c r="AG605" s="231">
        <f t="shared" si="343"/>
        <v>0</v>
      </c>
      <c r="AH605" s="231">
        <f t="shared" si="344"/>
        <v>0</v>
      </c>
      <c r="AI605" s="231">
        <f t="shared" si="345"/>
        <v>0</v>
      </c>
      <c r="AJ605" s="231">
        <f t="shared" si="346"/>
        <v>1</v>
      </c>
      <c r="AK605" s="231">
        <f t="shared" si="347"/>
        <v>0</v>
      </c>
      <c r="AL605" s="231">
        <f t="shared" si="348"/>
        <v>0</v>
      </c>
      <c r="AM605" s="231">
        <f t="shared" si="349"/>
        <v>4</v>
      </c>
    </row>
    <row r="606" spans="4:39" x14ac:dyDescent="0.25">
      <c r="D606" s="231">
        <v>448</v>
      </c>
      <c r="E606" s="231" t="s">
        <v>72</v>
      </c>
      <c r="F606" s="231" t="s">
        <v>73</v>
      </c>
      <c r="G606" s="231" t="s">
        <v>74</v>
      </c>
      <c r="H606" s="231" t="s">
        <v>69</v>
      </c>
      <c r="J606" s="231" t="s">
        <v>75</v>
      </c>
      <c r="L606" s="231" t="s">
        <v>78</v>
      </c>
      <c r="M606" s="231" t="s">
        <v>515</v>
      </c>
      <c r="P606" s="231" t="s">
        <v>70</v>
      </c>
      <c r="R606" s="231" t="s">
        <v>568</v>
      </c>
      <c r="S606" s="231" t="s">
        <v>567</v>
      </c>
      <c r="T606" s="231" t="s">
        <v>574</v>
      </c>
      <c r="U606" s="231" t="s">
        <v>573</v>
      </c>
      <c r="V606" s="231" t="s">
        <v>575</v>
      </c>
      <c r="W606" s="231" t="s">
        <v>572</v>
      </c>
      <c r="X606" s="231" t="s">
        <v>570</v>
      </c>
      <c r="Y606" s="231" t="s">
        <v>566</v>
      </c>
      <c r="AA606" s="231">
        <f t="shared" si="337"/>
        <v>0</v>
      </c>
      <c r="AB606" s="231">
        <f t="shared" si="338"/>
        <v>0</v>
      </c>
      <c r="AC606" s="231">
        <f t="shared" si="339"/>
        <v>1</v>
      </c>
      <c r="AD606" s="231">
        <f t="shared" si="340"/>
        <v>1</v>
      </c>
      <c r="AE606" s="231">
        <f t="shared" si="341"/>
        <v>0</v>
      </c>
      <c r="AF606" s="231">
        <f t="shared" si="342"/>
        <v>1</v>
      </c>
      <c r="AG606" s="231">
        <f t="shared" si="343"/>
        <v>0</v>
      </c>
      <c r="AH606" s="231">
        <f t="shared" si="344"/>
        <v>0</v>
      </c>
      <c r="AI606" s="231">
        <f t="shared" si="345"/>
        <v>1</v>
      </c>
      <c r="AJ606" s="231">
        <f t="shared" si="346"/>
        <v>0</v>
      </c>
      <c r="AK606" s="231">
        <f t="shared" si="347"/>
        <v>0</v>
      </c>
      <c r="AL606" s="231">
        <f t="shared" si="348"/>
        <v>1</v>
      </c>
      <c r="AM606" s="231">
        <f t="shared" si="349"/>
        <v>5</v>
      </c>
    </row>
    <row r="607" spans="4:39" x14ac:dyDescent="0.25">
      <c r="D607" s="231">
        <v>449</v>
      </c>
      <c r="E607" s="231" t="s">
        <v>72</v>
      </c>
      <c r="F607" s="231" t="s">
        <v>73</v>
      </c>
      <c r="G607" s="231" t="s">
        <v>74</v>
      </c>
      <c r="H607" s="231" t="s">
        <v>69</v>
      </c>
      <c r="J607" s="231" t="s">
        <v>75</v>
      </c>
      <c r="L607" s="231" t="s">
        <v>78</v>
      </c>
      <c r="M607" s="231" t="s">
        <v>515</v>
      </c>
      <c r="O607" s="232" t="s">
        <v>517</v>
      </c>
      <c r="R607" s="231" t="s">
        <v>568</v>
      </c>
      <c r="S607" s="231" t="s">
        <v>567</v>
      </c>
      <c r="T607" s="231" t="s">
        <v>574</v>
      </c>
      <c r="U607" s="231" t="s">
        <v>573</v>
      </c>
      <c r="V607" s="231" t="s">
        <v>575</v>
      </c>
      <c r="W607" s="231" t="s">
        <v>572</v>
      </c>
      <c r="X607" s="231" t="s">
        <v>566</v>
      </c>
      <c r="Y607" s="231" t="s">
        <v>571</v>
      </c>
      <c r="AA607" s="231">
        <f t="shared" si="337"/>
        <v>0</v>
      </c>
      <c r="AB607" s="231">
        <f t="shared" si="338"/>
        <v>0</v>
      </c>
      <c r="AC607" s="231">
        <f t="shared" si="339"/>
        <v>1</v>
      </c>
      <c r="AD607" s="231">
        <f t="shared" si="340"/>
        <v>1</v>
      </c>
      <c r="AE607" s="231">
        <f t="shared" si="341"/>
        <v>0</v>
      </c>
      <c r="AF607" s="231">
        <f t="shared" si="342"/>
        <v>1</v>
      </c>
      <c r="AG607" s="231">
        <f t="shared" si="343"/>
        <v>0</v>
      </c>
      <c r="AH607" s="231">
        <f t="shared" si="344"/>
        <v>0</v>
      </c>
      <c r="AI607" s="231">
        <f t="shared" si="345"/>
        <v>1</v>
      </c>
      <c r="AJ607" s="231">
        <f t="shared" si="346"/>
        <v>0</v>
      </c>
      <c r="AK607" s="231">
        <f t="shared" si="347"/>
        <v>0</v>
      </c>
      <c r="AL607" s="231">
        <f t="shared" si="348"/>
        <v>0</v>
      </c>
      <c r="AM607" s="231">
        <f t="shared" si="349"/>
        <v>4</v>
      </c>
    </row>
    <row r="608" spans="4:39" x14ac:dyDescent="0.25">
      <c r="D608" s="231">
        <v>450</v>
      </c>
      <c r="E608" s="231" t="s">
        <v>72</v>
      </c>
      <c r="F608" s="231" t="s">
        <v>73</v>
      </c>
      <c r="G608" s="231" t="s">
        <v>74</v>
      </c>
      <c r="H608" s="231" t="s">
        <v>69</v>
      </c>
      <c r="J608" s="231" t="s">
        <v>75</v>
      </c>
      <c r="L608" s="231" t="s">
        <v>78</v>
      </c>
      <c r="M608" s="231" t="s">
        <v>515</v>
      </c>
      <c r="N608" s="231" t="s">
        <v>516</v>
      </c>
      <c r="R608" s="231" t="s">
        <v>568</v>
      </c>
      <c r="S608" s="231" t="s">
        <v>565</v>
      </c>
      <c r="T608" s="231" t="s">
        <v>574</v>
      </c>
      <c r="U608" s="231" t="s">
        <v>573</v>
      </c>
      <c r="V608" s="231" t="s">
        <v>575</v>
      </c>
      <c r="W608" s="231" t="s">
        <v>567</v>
      </c>
      <c r="X608" s="231" t="s">
        <v>572</v>
      </c>
      <c r="Y608" s="231" t="s">
        <v>566</v>
      </c>
      <c r="AA608" s="231">
        <f t="shared" ref="AA608:AA653" si="350">IF(AND(E608&lt;&gt;"",AA$158=1),1,0)</f>
        <v>0</v>
      </c>
      <c r="AB608" s="231">
        <f t="shared" ref="AB608:AB653" si="351">IF(AND(F608&lt;&gt;"",AB$158=1),1,0)</f>
        <v>0</v>
      </c>
      <c r="AC608" s="231">
        <f t="shared" ref="AC608:AC653" si="352">IF(AND(G608&lt;&gt;"",AC$158=1),1,0)</f>
        <v>1</v>
      </c>
      <c r="AD608" s="231">
        <f t="shared" ref="AD608:AD653" si="353">IF(AND(H608&lt;&gt;"",AD$158=1),1,0)</f>
        <v>1</v>
      </c>
      <c r="AE608" s="231">
        <f t="shared" ref="AE608:AE653" si="354">IF(AND(I608&lt;&gt;"",AE$158=1),1,0)</f>
        <v>0</v>
      </c>
      <c r="AF608" s="231">
        <f t="shared" ref="AF608:AF653" si="355">IF(AND(J608&lt;&gt;"",AF$158=1),1,0)</f>
        <v>1</v>
      </c>
      <c r="AG608" s="231">
        <f t="shared" ref="AG608:AG653" si="356">IF(AND(K608&lt;&gt;"",AG$158=1),1,0)</f>
        <v>0</v>
      </c>
      <c r="AH608" s="231">
        <f t="shared" ref="AH608:AH653" si="357">IF(AND(L608&lt;&gt;"",AH$158=1),1,0)</f>
        <v>0</v>
      </c>
      <c r="AI608" s="231">
        <f t="shared" ref="AI608:AI653" si="358">IF(AND(M608&lt;&gt;"",AI$158=1),1,0)</f>
        <v>1</v>
      </c>
      <c r="AJ608" s="231">
        <f t="shared" ref="AJ608:AJ653" si="359">IF(AND(N608&lt;&gt;"",AJ$158=1),1,0)</f>
        <v>1</v>
      </c>
      <c r="AK608" s="231">
        <f t="shared" ref="AK608:AK653" si="360">IF(AND(O608&lt;&gt;"",AK$158=1),1,0)</f>
        <v>0</v>
      </c>
      <c r="AL608" s="231">
        <f t="shared" ref="AL608:AL653" si="361">IF(AND(P608&lt;&gt;"",AL$158=1),1,0)</f>
        <v>0</v>
      </c>
      <c r="AM608" s="231">
        <f t="shared" ref="AM608:AM653" si="362">SUM(AA608:AL608)</f>
        <v>5</v>
      </c>
    </row>
    <row r="609" spans="4:39" x14ac:dyDescent="0.25">
      <c r="D609" s="231">
        <v>451</v>
      </c>
      <c r="E609" s="231" t="s">
        <v>72</v>
      </c>
      <c r="F609" s="231" t="s">
        <v>73</v>
      </c>
      <c r="G609" s="231" t="s">
        <v>74</v>
      </c>
      <c r="H609" s="231" t="s">
        <v>69</v>
      </c>
      <c r="J609" s="231" t="s">
        <v>75</v>
      </c>
      <c r="K609" s="231" t="s">
        <v>77</v>
      </c>
      <c r="O609" s="232" t="s">
        <v>517</v>
      </c>
      <c r="P609" s="231" t="s">
        <v>70</v>
      </c>
      <c r="R609" s="231" t="s">
        <v>573</v>
      </c>
      <c r="S609" s="231" t="s">
        <v>569</v>
      </c>
      <c r="T609" s="231" t="s">
        <v>574</v>
      </c>
      <c r="U609" s="231" t="s">
        <v>572</v>
      </c>
      <c r="V609" s="231" t="s">
        <v>575</v>
      </c>
      <c r="W609" s="231" t="s">
        <v>567</v>
      </c>
      <c r="X609" s="231" t="s">
        <v>570</v>
      </c>
      <c r="Y609" s="231" t="s">
        <v>571</v>
      </c>
      <c r="AA609" s="231">
        <f t="shared" si="350"/>
        <v>0</v>
      </c>
      <c r="AB609" s="231">
        <f t="shared" si="351"/>
        <v>0</v>
      </c>
      <c r="AC609" s="231">
        <f t="shared" si="352"/>
        <v>1</v>
      </c>
      <c r="AD609" s="231">
        <f t="shared" si="353"/>
        <v>1</v>
      </c>
      <c r="AE609" s="231">
        <f t="shared" si="354"/>
        <v>0</v>
      </c>
      <c r="AF609" s="231">
        <f t="shared" si="355"/>
        <v>1</v>
      </c>
      <c r="AG609" s="231">
        <f t="shared" si="356"/>
        <v>1</v>
      </c>
      <c r="AH609" s="231">
        <f t="shared" si="357"/>
        <v>0</v>
      </c>
      <c r="AI609" s="231">
        <f t="shared" si="358"/>
        <v>0</v>
      </c>
      <c r="AJ609" s="231">
        <f t="shared" si="359"/>
        <v>0</v>
      </c>
      <c r="AK609" s="231">
        <f t="shared" si="360"/>
        <v>0</v>
      </c>
      <c r="AL609" s="231">
        <f t="shared" si="361"/>
        <v>1</v>
      </c>
      <c r="AM609" s="231">
        <f t="shared" si="362"/>
        <v>5</v>
      </c>
    </row>
    <row r="610" spans="4:39" x14ac:dyDescent="0.25">
      <c r="D610" s="231">
        <v>452</v>
      </c>
      <c r="E610" s="231" t="s">
        <v>72</v>
      </c>
      <c r="F610" s="231" t="s">
        <v>73</v>
      </c>
      <c r="G610" s="231" t="s">
        <v>74</v>
      </c>
      <c r="H610" s="231" t="s">
        <v>69</v>
      </c>
      <c r="J610" s="231" t="s">
        <v>75</v>
      </c>
      <c r="K610" s="231" t="s">
        <v>77</v>
      </c>
      <c r="N610" s="231" t="s">
        <v>516</v>
      </c>
      <c r="P610" s="231" t="s">
        <v>70</v>
      </c>
      <c r="R610" s="231" t="s">
        <v>573</v>
      </c>
      <c r="S610" s="231" t="s">
        <v>569</v>
      </c>
      <c r="T610" s="231" t="s">
        <v>574</v>
      </c>
      <c r="U610" s="231" t="s">
        <v>572</v>
      </c>
      <c r="V610" s="231" t="s">
        <v>575</v>
      </c>
      <c r="W610" s="231" t="s">
        <v>567</v>
      </c>
      <c r="X610" s="231" t="s">
        <v>570</v>
      </c>
      <c r="Y610" s="231" t="s">
        <v>565</v>
      </c>
      <c r="AA610" s="231">
        <f t="shared" si="350"/>
        <v>0</v>
      </c>
      <c r="AB610" s="231">
        <f t="shared" si="351"/>
        <v>0</v>
      </c>
      <c r="AC610" s="231">
        <f t="shared" si="352"/>
        <v>1</v>
      </c>
      <c r="AD610" s="231">
        <f t="shared" si="353"/>
        <v>1</v>
      </c>
      <c r="AE610" s="231">
        <f t="shared" si="354"/>
        <v>0</v>
      </c>
      <c r="AF610" s="231">
        <f t="shared" si="355"/>
        <v>1</v>
      </c>
      <c r="AG610" s="231">
        <f t="shared" si="356"/>
        <v>1</v>
      </c>
      <c r="AH610" s="231">
        <f t="shared" si="357"/>
        <v>0</v>
      </c>
      <c r="AI610" s="231">
        <f t="shared" si="358"/>
        <v>0</v>
      </c>
      <c r="AJ610" s="231">
        <f t="shared" si="359"/>
        <v>1</v>
      </c>
      <c r="AK610" s="231">
        <f t="shared" si="360"/>
        <v>0</v>
      </c>
      <c r="AL610" s="231">
        <f t="shared" si="361"/>
        <v>1</v>
      </c>
      <c r="AM610" s="231">
        <f t="shared" si="362"/>
        <v>6</v>
      </c>
    </row>
    <row r="611" spans="4:39" x14ac:dyDescent="0.25">
      <c r="D611" s="231">
        <v>453</v>
      </c>
      <c r="E611" s="231" t="s">
        <v>72</v>
      </c>
      <c r="F611" s="231" t="s">
        <v>73</v>
      </c>
      <c r="G611" s="231" t="s">
        <v>74</v>
      </c>
      <c r="H611" s="231" t="s">
        <v>69</v>
      </c>
      <c r="J611" s="231" t="s">
        <v>75</v>
      </c>
      <c r="K611" s="231" t="s">
        <v>77</v>
      </c>
      <c r="N611" s="231" t="s">
        <v>516</v>
      </c>
      <c r="O611" s="232" t="s">
        <v>517</v>
      </c>
      <c r="R611" s="231" t="s">
        <v>573</v>
      </c>
      <c r="S611" s="231" t="s">
        <v>569</v>
      </c>
      <c r="T611" s="231" t="s">
        <v>574</v>
      </c>
      <c r="U611" s="231" t="s">
        <v>572</v>
      </c>
      <c r="V611" s="231" t="s">
        <v>575</v>
      </c>
      <c r="W611" s="231" t="s">
        <v>567</v>
      </c>
      <c r="X611" s="231" t="s">
        <v>565</v>
      </c>
      <c r="Y611" s="231" t="s">
        <v>571</v>
      </c>
      <c r="AA611" s="231">
        <f t="shared" si="350"/>
        <v>0</v>
      </c>
      <c r="AB611" s="231">
        <f t="shared" si="351"/>
        <v>0</v>
      </c>
      <c r="AC611" s="231">
        <f t="shared" si="352"/>
        <v>1</v>
      </c>
      <c r="AD611" s="231">
        <f t="shared" si="353"/>
        <v>1</v>
      </c>
      <c r="AE611" s="231">
        <f t="shared" si="354"/>
        <v>0</v>
      </c>
      <c r="AF611" s="231">
        <f t="shared" si="355"/>
        <v>1</v>
      </c>
      <c r="AG611" s="231">
        <f t="shared" si="356"/>
        <v>1</v>
      </c>
      <c r="AH611" s="231">
        <f t="shared" si="357"/>
        <v>0</v>
      </c>
      <c r="AI611" s="231">
        <f t="shared" si="358"/>
        <v>0</v>
      </c>
      <c r="AJ611" s="231">
        <f t="shared" si="359"/>
        <v>1</v>
      </c>
      <c r="AK611" s="231">
        <f t="shared" si="360"/>
        <v>0</v>
      </c>
      <c r="AL611" s="231">
        <f t="shared" si="361"/>
        <v>0</v>
      </c>
      <c r="AM611" s="231">
        <f t="shared" si="362"/>
        <v>5</v>
      </c>
    </row>
    <row r="612" spans="4:39" x14ac:dyDescent="0.25">
      <c r="D612" s="231">
        <v>454</v>
      </c>
      <c r="E612" s="231" t="s">
        <v>72</v>
      </c>
      <c r="F612" s="231" t="s">
        <v>73</v>
      </c>
      <c r="G612" s="231" t="s">
        <v>74</v>
      </c>
      <c r="H612" s="231" t="s">
        <v>69</v>
      </c>
      <c r="J612" s="231" t="s">
        <v>75</v>
      </c>
      <c r="K612" s="231" t="s">
        <v>77</v>
      </c>
      <c r="M612" s="231" t="s">
        <v>515</v>
      </c>
      <c r="P612" s="231" t="s">
        <v>70</v>
      </c>
      <c r="R612" s="231" t="s">
        <v>573</v>
      </c>
      <c r="S612" s="231" t="s">
        <v>569</v>
      </c>
      <c r="T612" s="231" t="s">
        <v>574</v>
      </c>
      <c r="U612" s="231" t="s">
        <v>572</v>
      </c>
      <c r="V612" s="231" t="s">
        <v>575</v>
      </c>
      <c r="W612" s="231" t="s">
        <v>567</v>
      </c>
      <c r="X612" s="231" t="s">
        <v>570</v>
      </c>
      <c r="Y612" s="231" t="s">
        <v>566</v>
      </c>
      <c r="AA612" s="231">
        <f t="shared" si="350"/>
        <v>0</v>
      </c>
      <c r="AB612" s="231">
        <f t="shared" si="351"/>
        <v>0</v>
      </c>
      <c r="AC612" s="231">
        <f t="shared" si="352"/>
        <v>1</v>
      </c>
      <c r="AD612" s="231">
        <f t="shared" si="353"/>
        <v>1</v>
      </c>
      <c r="AE612" s="231">
        <f t="shared" si="354"/>
        <v>0</v>
      </c>
      <c r="AF612" s="231">
        <f t="shared" si="355"/>
        <v>1</v>
      </c>
      <c r="AG612" s="231">
        <f t="shared" si="356"/>
        <v>1</v>
      </c>
      <c r="AH612" s="231">
        <f t="shared" si="357"/>
        <v>0</v>
      </c>
      <c r="AI612" s="231">
        <f t="shared" si="358"/>
        <v>1</v>
      </c>
      <c r="AJ612" s="231">
        <f t="shared" si="359"/>
        <v>0</v>
      </c>
      <c r="AK612" s="231">
        <f t="shared" si="360"/>
        <v>0</v>
      </c>
      <c r="AL612" s="231">
        <f t="shared" si="361"/>
        <v>1</v>
      </c>
      <c r="AM612" s="231">
        <f t="shared" si="362"/>
        <v>6</v>
      </c>
    </row>
    <row r="613" spans="4:39" x14ac:dyDescent="0.25">
      <c r="D613" s="231">
        <v>455</v>
      </c>
      <c r="E613" s="231" t="s">
        <v>72</v>
      </c>
      <c r="F613" s="231" t="s">
        <v>73</v>
      </c>
      <c r="G613" s="231" t="s">
        <v>74</v>
      </c>
      <c r="H613" s="231" t="s">
        <v>69</v>
      </c>
      <c r="J613" s="231" t="s">
        <v>75</v>
      </c>
      <c r="K613" s="231" t="s">
        <v>77</v>
      </c>
      <c r="M613" s="231" t="s">
        <v>515</v>
      </c>
      <c r="O613" s="232" t="s">
        <v>517</v>
      </c>
      <c r="R613" s="231" t="s">
        <v>573</v>
      </c>
      <c r="S613" s="231" t="s">
        <v>569</v>
      </c>
      <c r="T613" s="231" t="s">
        <v>574</v>
      </c>
      <c r="U613" s="231" t="s">
        <v>572</v>
      </c>
      <c r="V613" s="231" t="s">
        <v>575</v>
      </c>
      <c r="W613" s="231" t="s">
        <v>567</v>
      </c>
      <c r="X613" s="231" t="s">
        <v>566</v>
      </c>
      <c r="Y613" s="231" t="s">
        <v>571</v>
      </c>
      <c r="AA613" s="231">
        <f t="shared" si="350"/>
        <v>0</v>
      </c>
      <c r="AB613" s="231">
        <f t="shared" si="351"/>
        <v>0</v>
      </c>
      <c r="AC613" s="231">
        <f t="shared" si="352"/>
        <v>1</v>
      </c>
      <c r="AD613" s="231">
        <f t="shared" si="353"/>
        <v>1</v>
      </c>
      <c r="AE613" s="231">
        <f t="shared" si="354"/>
        <v>0</v>
      </c>
      <c r="AF613" s="231">
        <f t="shared" si="355"/>
        <v>1</v>
      </c>
      <c r="AG613" s="231">
        <f t="shared" si="356"/>
        <v>1</v>
      </c>
      <c r="AH613" s="231">
        <f t="shared" si="357"/>
        <v>0</v>
      </c>
      <c r="AI613" s="231">
        <f t="shared" si="358"/>
        <v>1</v>
      </c>
      <c r="AJ613" s="231">
        <f t="shared" si="359"/>
        <v>0</v>
      </c>
      <c r="AK613" s="231">
        <f t="shared" si="360"/>
        <v>0</v>
      </c>
      <c r="AL613" s="231">
        <f t="shared" si="361"/>
        <v>0</v>
      </c>
      <c r="AM613" s="231">
        <f t="shared" si="362"/>
        <v>5</v>
      </c>
    </row>
    <row r="614" spans="4:39" x14ac:dyDescent="0.25">
      <c r="D614" s="231">
        <v>456</v>
      </c>
      <c r="E614" s="231" t="s">
        <v>72</v>
      </c>
      <c r="F614" s="231" t="s">
        <v>73</v>
      </c>
      <c r="G614" s="231" t="s">
        <v>74</v>
      </c>
      <c r="H614" s="231" t="s">
        <v>69</v>
      </c>
      <c r="J614" s="231" t="s">
        <v>75</v>
      </c>
      <c r="K614" s="231" t="s">
        <v>77</v>
      </c>
      <c r="M614" s="231" t="s">
        <v>515</v>
      </c>
      <c r="N614" s="231" t="s">
        <v>516</v>
      </c>
      <c r="R614" s="231" t="s">
        <v>573</v>
      </c>
      <c r="S614" s="231" t="s">
        <v>569</v>
      </c>
      <c r="T614" s="231" t="s">
        <v>574</v>
      </c>
      <c r="U614" s="231" t="s">
        <v>572</v>
      </c>
      <c r="V614" s="231" t="s">
        <v>575</v>
      </c>
      <c r="W614" s="231" t="s">
        <v>567</v>
      </c>
      <c r="X614" s="231" t="s">
        <v>566</v>
      </c>
      <c r="Y614" s="231" t="s">
        <v>565</v>
      </c>
      <c r="AA614" s="231">
        <f t="shared" si="350"/>
        <v>0</v>
      </c>
      <c r="AB614" s="231">
        <f t="shared" si="351"/>
        <v>0</v>
      </c>
      <c r="AC614" s="231">
        <f t="shared" si="352"/>
        <v>1</v>
      </c>
      <c r="AD614" s="231">
        <f t="shared" si="353"/>
        <v>1</v>
      </c>
      <c r="AE614" s="231">
        <f t="shared" si="354"/>
        <v>0</v>
      </c>
      <c r="AF614" s="231">
        <f t="shared" si="355"/>
        <v>1</v>
      </c>
      <c r="AG614" s="231">
        <f t="shared" si="356"/>
        <v>1</v>
      </c>
      <c r="AH614" s="231">
        <f t="shared" si="357"/>
        <v>0</v>
      </c>
      <c r="AI614" s="231">
        <f t="shared" si="358"/>
        <v>1</v>
      </c>
      <c r="AJ614" s="231">
        <f t="shared" si="359"/>
        <v>1</v>
      </c>
      <c r="AK614" s="231">
        <f t="shared" si="360"/>
        <v>0</v>
      </c>
      <c r="AL614" s="231">
        <f t="shared" si="361"/>
        <v>0</v>
      </c>
      <c r="AM614" s="231">
        <f t="shared" si="362"/>
        <v>6</v>
      </c>
    </row>
    <row r="615" spans="4:39" x14ac:dyDescent="0.25">
      <c r="D615" s="231">
        <v>457</v>
      </c>
      <c r="E615" s="231" t="s">
        <v>72</v>
      </c>
      <c r="F615" s="231" t="s">
        <v>73</v>
      </c>
      <c r="G615" s="231" t="s">
        <v>74</v>
      </c>
      <c r="H615" s="231" t="s">
        <v>69</v>
      </c>
      <c r="J615" s="231" t="s">
        <v>75</v>
      </c>
      <c r="K615" s="231" t="s">
        <v>77</v>
      </c>
      <c r="L615" s="231" t="s">
        <v>78</v>
      </c>
      <c r="P615" s="231" t="s">
        <v>70</v>
      </c>
      <c r="R615" s="231" t="s">
        <v>573</v>
      </c>
      <c r="S615" s="231" t="s">
        <v>569</v>
      </c>
      <c r="T615" s="231" t="s">
        <v>574</v>
      </c>
      <c r="U615" s="231" t="s">
        <v>572</v>
      </c>
      <c r="V615" s="231" t="s">
        <v>575</v>
      </c>
      <c r="W615" s="231" t="s">
        <v>567</v>
      </c>
      <c r="X615" s="231" t="s">
        <v>570</v>
      </c>
      <c r="Y615" s="231" t="s">
        <v>568</v>
      </c>
      <c r="AA615" s="231">
        <f t="shared" si="350"/>
        <v>0</v>
      </c>
      <c r="AB615" s="231">
        <f t="shared" si="351"/>
        <v>0</v>
      </c>
      <c r="AC615" s="231">
        <f t="shared" si="352"/>
        <v>1</v>
      </c>
      <c r="AD615" s="231">
        <f t="shared" si="353"/>
        <v>1</v>
      </c>
      <c r="AE615" s="231">
        <f t="shared" si="354"/>
        <v>0</v>
      </c>
      <c r="AF615" s="231">
        <f t="shared" si="355"/>
        <v>1</v>
      </c>
      <c r="AG615" s="231">
        <f t="shared" si="356"/>
        <v>1</v>
      </c>
      <c r="AH615" s="231">
        <f t="shared" si="357"/>
        <v>0</v>
      </c>
      <c r="AI615" s="231">
        <f t="shared" si="358"/>
        <v>0</v>
      </c>
      <c r="AJ615" s="231">
        <f t="shared" si="359"/>
        <v>0</v>
      </c>
      <c r="AK615" s="231">
        <f t="shared" si="360"/>
        <v>0</v>
      </c>
      <c r="AL615" s="231">
        <f t="shared" si="361"/>
        <v>1</v>
      </c>
      <c r="AM615" s="231">
        <f t="shared" si="362"/>
        <v>5</v>
      </c>
    </row>
    <row r="616" spans="4:39" x14ac:dyDescent="0.25">
      <c r="D616" s="231">
        <v>458</v>
      </c>
      <c r="E616" s="231" t="s">
        <v>72</v>
      </c>
      <c r="F616" s="231" t="s">
        <v>73</v>
      </c>
      <c r="G616" s="231" t="s">
        <v>74</v>
      </c>
      <c r="H616" s="231" t="s">
        <v>69</v>
      </c>
      <c r="J616" s="231" t="s">
        <v>75</v>
      </c>
      <c r="K616" s="231" t="s">
        <v>77</v>
      </c>
      <c r="L616" s="231" t="s">
        <v>78</v>
      </c>
      <c r="O616" s="232" t="s">
        <v>517</v>
      </c>
      <c r="R616" s="231" t="s">
        <v>568</v>
      </c>
      <c r="S616" s="231" t="s">
        <v>569</v>
      </c>
      <c r="T616" s="231" t="s">
        <v>574</v>
      </c>
      <c r="U616" s="231" t="s">
        <v>573</v>
      </c>
      <c r="V616" s="231" t="s">
        <v>575</v>
      </c>
      <c r="W616" s="231" t="s">
        <v>567</v>
      </c>
      <c r="X616" s="231" t="s">
        <v>572</v>
      </c>
      <c r="Y616" s="231" t="s">
        <v>571</v>
      </c>
      <c r="AA616" s="231">
        <f t="shared" si="350"/>
        <v>0</v>
      </c>
      <c r="AB616" s="231">
        <f t="shared" si="351"/>
        <v>0</v>
      </c>
      <c r="AC616" s="231">
        <f t="shared" si="352"/>
        <v>1</v>
      </c>
      <c r="AD616" s="231">
        <f t="shared" si="353"/>
        <v>1</v>
      </c>
      <c r="AE616" s="231">
        <f t="shared" si="354"/>
        <v>0</v>
      </c>
      <c r="AF616" s="231">
        <f t="shared" si="355"/>
        <v>1</v>
      </c>
      <c r="AG616" s="231">
        <f t="shared" si="356"/>
        <v>1</v>
      </c>
      <c r="AH616" s="231">
        <f t="shared" si="357"/>
        <v>0</v>
      </c>
      <c r="AI616" s="231">
        <f t="shared" si="358"/>
        <v>0</v>
      </c>
      <c r="AJ616" s="231">
        <f t="shared" si="359"/>
        <v>0</v>
      </c>
      <c r="AK616" s="231">
        <f t="shared" si="360"/>
        <v>0</v>
      </c>
      <c r="AL616" s="231">
        <f t="shared" si="361"/>
        <v>0</v>
      </c>
      <c r="AM616" s="231">
        <f t="shared" si="362"/>
        <v>4</v>
      </c>
    </row>
    <row r="617" spans="4:39" x14ac:dyDescent="0.25">
      <c r="D617" s="231">
        <v>459</v>
      </c>
      <c r="E617" s="231" t="s">
        <v>72</v>
      </c>
      <c r="F617" s="231" t="s">
        <v>73</v>
      </c>
      <c r="G617" s="231" t="s">
        <v>74</v>
      </c>
      <c r="H617" s="231" t="s">
        <v>69</v>
      </c>
      <c r="J617" s="231" t="s">
        <v>75</v>
      </c>
      <c r="K617" s="231" t="s">
        <v>77</v>
      </c>
      <c r="L617" s="231" t="s">
        <v>78</v>
      </c>
      <c r="N617" s="231" t="s">
        <v>516</v>
      </c>
      <c r="R617" s="231" t="s">
        <v>568</v>
      </c>
      <c r="S617" s="231" t="s">
        <v>569</v>
      </c>
      <c r="T617" s="231" t="s">
        <v>574</v>
      </c>
      <c r="U617" s="231" t="s">
        <v>573</v>
      </c>
      <c r="V617" s="231" t="s">
        <v>575</v>
      </c>
      <c r="W617" s="231" t="s">
        <v>567</v>
      </c>
      <c r="X617" s="231" t="s">
        <v>572</v>
      </c>
      <c r="Y617" s="231" t="s">
        <v>565</v>
      </c>
      <c r="AA617" s="231">
        <f t="shared" si="350"/>
        <v>0</v>
      </c>
      <c r="AB617" s="231">
        <f t="shared" si="351"/>
        <v>0</v>
      </c>
      <c r="AC617" s="231">
        <f t="shared" si="352"/>
        <v>1</v>
      </c>
      <c r="AD617" s="231">
        <f t="shared" si="353"/>
        <v>1</v>
      </c>
      <c r="AE617" s="231">
        <f t="shared" si="354"/>
        <v>0</v>
      </c>
      <c r="AF617" s="231">
        <f t="shared" si="355"/>
        <v>1</v>
      </c>
      <c r="AG617" s="231">
        <f t="shared" si="356"/>
        <v>1</v>
      </c>
      <c r="AH617" s="231">
        <f t="shared" si="357"/>
        <v>0</v>
      </c>
      <c r="AI617" s="231">
        <f t="shared" si="358"/>
        <v>0</v>
      </c>
      <c r="AJ617" s="231">
        <f t="shared" si="359"/>
        <v>1</v>
      </c>
      <c r="AK617" s="231">
        <f t="shared" si="360"/>
        <v>0</v>
      </c>
      <c r="AL617" s="231">
        <f t="shared" si="361"/>
        <v>0</v>
      </c>
      <c r="AM617" s="231">
        <f t="shared" si="362"/>
        <v>5</v>
      </c>
    </row>
    <row r="618" spans="4:39" x14ac:dyDescent="0.25">
      <c r="D618" s="231">
        <v>460</v>
      </c>
      <c r="E618" s="231" t="s">
        <v>72</v>
      </c>
      <c r="F618" s="231" t="s">
        <v>73</v>
      </c>
      <c r="G618" s="231" t="s">
        <v>74</v>
      </c>
      <c r="H618" s="231" t="s">
        <v>69</v>
      </c>
      <c r="J618" s="231" t="s">
        <v>75</v>
      </c>
      <c r="K618" s="231" t="s">
        <v>77</v>
      </c>
      <c r="L618" s="231" t="s">
        <v>78</v>
      </c>
      <c r="M618" s="231" t="s">
        <v>515</v>
      </c>
      <c r="R618" s="231" t="s">
        <v>568</v>
      </c>
      <c r="S618" s="231" t="s">
        <v>569</v>
      </c>
      <c r="T618" s="231" t="s">
        <v>574</v>
      </c>
      <c r="U618" s="231" t="s">
        <v>573</v>
      </c>
      <c r="V618" s="231" t="s">
        <v>575</v>
      </c>
      <c r="W618" s="231" t="s">
        <v>567</v>
      </c>
      <c r="X618" s="231" t="s">
        <v>572</v>
      </c>
      <c r="Y618" s="231" t="s">
        <v>566</v>
      </c>
      <c r="AA618" s="231">
        <f t="shared" si="350"/>
        <v>0</v>
      </c>
      <c r="AB618" s="231">
        <f t="shared" si="351"/>
        <v>0</v>
      </c>
      <c r="AC618" s="231">
        <f t="shared" si="352"/>
        <v>1</v>
      </c>
      <c r="AD618" s="231">
        <f t="shared" si="353"/>
        <v>1</v>
      </c>
      <c r="AE618" s="231">
        <f t="shared" si="354"/>
        <v>0</v>
      </c>
      <c r="AF618" s="231">
        <f t="shared" si="355"/>
        <v>1</v>
      </c>
      <c r="AG618" s="231">
        <f t="shared" si="356"/>
        <v>1</v>
      </c>
      <c r="AH618" s="231">
        <f t="shared" si="357"/>
        <v>0</v>
      </c>
      <c r="AI618" s="231">
        <f t="shared" si="358"/>
        <v>1</v>
      </c>
      <c r="AJ618" s="231">
        <f t="shared" si="359"/>
        <v>0</v>
      </c>
      <c r="AK618" s="231">
        <f t="shared" si="360"/>
        <v>0</v>
      </c>
      <c r="AL618" s="231">
        <f t="shared" si="361"/>
        <v>0</v>
      </c>
      <c r="AM618" s="231">
        <f t="shared" si="362"/>
        <v>5</v>
      </c>
    </row>
    <row r="619" spans="4:39" x14ac:dyDescent="0.25">
      <c r="D619" s="231">
        <v>461</v>
      </c>
      <c r="E619" s="231" t="s">
        <v>72</v>
      </c>
      <c r="F619" s="231" t="s">
        <v>73</v>
      </c>
      <c r="G619" s="231" t="s">
        <v>74</v>
      </c>
      <c r="H619" s="231" t="s">
        <v>69</v>
      </c>
      <c r="I619" s="231" t="s">
        <v>76</v>
      </c>
      <c r="N619" s="231" t="s">
        <v>516</v>
      </c>
      <c r="O619" s="232" t="s">
        <v>517</v>
      </c>
      <c r="P619" s="231" t="s">
        <v>70</v>
      </c>
      <c r="R619" s="231" t="s">
        <v>564</v>
      </c>
      <c r="S619" s="231" t="s">
        <v>565</v>
      </c>
      <c r="T619" s="231" t="s">
        <v>574</v>
      </c>
      <c r="U619" s="231" t="s">
        <v>573</v>
      </c>
      <c r="V619" s="231" t="s">
        <v>575</v>
      </c>
      <c r="W619" s="231" t="s">
        <v>572</v>
      </c>
      <c r="X619" s="231" t="s">
        <v>570</v>
      </c>
      <c r="Y619" s="231" t="s">
        <v>571</v>
      </c>
      <c r="AA619" s="231">
        <f t="shared" si="350"/>
        <v>0</v>
      </c>
      <c r="AB619" s="231">
        <f t="shared" si="351"/>
        <v>0</v>
      </c>
      <c r="AC619" s="231">
        <f t="shared" si="352"/>
        <v>1</v>
      </c>
      <c r="AD619" s="231">
        <f t="shared" si="353"/>
        <v>1</v>
      </c>
      <c r="AE619" s="231">
        <f t="shared" si="354"/>
        <v>1</v>
      </c>
      <c r="AF619" s="231">
        <f t="shared" si="355"/>
        <v>0</v>
      </c>
      <c r="AG619" s="231">
        <f t="shared" si="356"/>
        <v>0</v>
      </c>
      <c r="AH619" s="231">
        <f t="shared" si="357"/>
        <v>0</v>
      </c>
      <c r="AI619" s="231">
        <f t="shared" si="358"/>
        <v>0</v>
      </c>
      <c r="AJ619" s="231">
        <f t="shared" si="359"/>
        <v>1</v>
      </c>
      <c r="AK619" s="231">
        <f t="shared" si="360"/>
        <v>0</v>
      </c>
      <c r="AL619" s="231">
        <f t="shared" si="361"/>
        <v>1</v>
      </c>
      <c r="AM619" s="231">
        <f t="shared" si="362"/>
        <v>5</v>
      </c>
    </row>
    <row r="620" spans="4:39" x14ac:dyDescent="0.25">
      <c r="D620" s="231">
        <v>462</v>
      </c>
      <c r="E620" s="231" t="s">
        <v>72</v>
      </c>
      <c r="F620" s="231" t="s">
        <v>73</v>
      </c>
      <c r="G620" s="231" t="s">
        <v>74</v>
      </c>
      <c r="H620" s="231" t="s">
        <v>69</v>
      </c>
      <c r="I620" s="231" t="s">
        <v>76</v>
      </c>
      <c r="M620" s="231" t="s">
        <v>515</v>
      </c>
      <c r="O620" s="232" t="s">
        <v>517</v>
      </c>
      <c r="P620" s="231" t="s">
        <v>70</v>
      </c>
      <c r="R620" s="231" t="s">
        <v>564</v>
      </c>
      <c r="S620" s="231" t="s">
        <v>566</v>
      </c>
      <c r="T620" s="231" t="s">
        <v>574</v>
      </c>
      <c r="U620" s="231" t="s">
        <v>573</v>
      </c>
      <c r="V620" s="231" t="s">
        <v>575</v>
      </c>
      <c r="W620" s="231" t="s">
        <v>572</v>
      </c>
      <c r="X620" s="231" t="s">
        <v>570</v>
      </c>
      <c r="Y620" s="231" t="s">
        <v>571</v>
      </c>
      <c r="AA620" s="231">
        <f t="shared" si="350"/>
        <v>0</v>
      </c>
      <c r="AB620" s="231">
        <f t="shared" si="351"/>
        <v>0</v>
      </c>
      <c r="AC620" s="231">
        <f t="shared" si="352"/>
        <v>1</v>
      </c>
      <c r="AD620" s="231">
        <f t="shared" si="353"/>
        <v>1</v>
      </c>
      <c r="AE620" s="231">
        <f t="shared" si="354"/>
        <v>1</v>
      </c>
      <c r="AF620" s="231">
        <f t="shared" si="355"/>
        <v>0</v>
      </c>
      <c r="AG620" s="231">
        <f t="shared" si="356"/>
        <v>0</v>
      </c>
      <c r="AH620" s="231">
        <f t="shared" si="357"/>
        <v>0</v>
      </c>
      <c r="AI620" s="231">
        <f t="shared" si="358"/>
        <v>1</v>
      </c>
      <c r="AJ620" s="231">
        <f t="shared" si="359"/>
        <v>0</v>
      </c>
      <c r="AK620" s="231">
        <f t="shared" si="360"/>
        <v>0</v>
      </c>
      <c r="AL620" s="231">
        <f t="shared" si="361"/>
        <v>1</v>
      </c>
      <c r="AM620" s="231">
        <f t="shared" si="362"/>
        <v>5</v>
      </c>
    </row>
    <row r="621" spans="4:39" x14ac:dyDescent="0.25">
      <c r="D621" s="231">
        <v>463</v>
      </c>
      <c r="E621" s="231" t="s">
        <v>72</v>
      </c>
      <c r="F621" s="231" t="s">
        <v>73</v>
      </c>
      <c r="G621" s="231" t="s">
        <v>74</v>
      </c>
      <c r="H621" s="231" t="s">
        <v>69</v>
      </c>
      <c r="I621" s="231" t="s">
        <v>76</v>
      </c>
      <c r="M621" s="231" t="s">
        <v>515</v>
      </c>
      <c r="N621" s="231" t="s">
        <v>516</v>
      </c>
      <c r="P621" s="231" t="s">
        <v>70</v>
      </c>
      <c r="R621" s="231" t="s">
        <v>564</v>
      </c>
      <c r="S621" s="231" t="s">
        <v>565</v>
      </c>
      <c r="T621" s="231" t="s">
        <v>574</v>
      </c>
      <c r="U621" s="231" t="s">
        <v>573</v>
      </c>
      <c r="V621" s="231" t="s">
        <v>575</v>
      </c>
      <c r="W621" s="231" t="s">
        <v>572</v>
      </c>
      <c r="X621" s="231" t="s">
        <v>570</v>
      </c>
      <c r="Y621" s="231" t="s">
        <v>566</v>
      </c>
      <c r="AA621" s="231">
        <f t="shared" si="350"/>
        <v>0</v>
      </c>
      <c r="AB621" s="231">
        <f t="shared" si="351"/>
        <v>0</v>
      </c>
      <c r="AC621" s="231">
        <f t="shared" si="352"/>
        <v>1</v>
      </c>
      <c r="AD621" s="231">
        <f t="shared" si="353"/>
        <v>1</v>
      </c>
      <c r="AE621" s="231">
        <f t="shared" si="354"/>
        <v>1</v>
      </c>
      <c r="AF621" s="231">
        <f t="shared" si="355"/>
        <v>0</v>
      </c>
      <c r="AG621" s="231">
        <f t="shared" si="356"/>
        <v>0</v>
      </c>
      <c r="AH621" s="231">
        <f t="shared" si="357"/>
        <v>0</v>
      </c>
      <c r="AI621" s="231">
        <f t="shared" si="358"/>
        <v>1</v>
      </c>
      <c r="AJ621" s="231">
        <f t="shared" si="359"/>
        <v>1</v>
      </c>
      <c r="AK621" s="231">
        <f t="shared" si="360"/>
        <v>0</v>
      </c>
      <c r="AL621" s="231">
        <f t="shared" si="361"/>
        <v>1</v>
      </c>
      <c r="AM621" s="231">
        <f t="shared" si="362"/>
        <v>6</v>
      </c>
    </row>
    <row r="622" spans="4:39" x14ac:dyDescent="0.25">
      <c r="D622" s="231">
        <v>464</v>
      </c>
      <c r="E622" s="231" t="s">
        <v>72</v>
      </c>
      <c r="F622" s="231" t="s">
        <v>73</v>
      </c>
      <c r="G622" s="231" t="s">
        <v>74</v>
      </c>
      <c r="H622" s="231" t="s">
        <v>69</v>
      </c>
      <c r="I622" s="231" t="s">
        <v>76</v>
      </c>
      <c r="M622" s="231" t="s">
        <v>515</v>
      </c>
      <c r="N622" s="231" t="s">
        <v>516</v>
      </c>
      <c r="O622" s="232" t="s">
        <v>517</v>
      </c>
      <c r="R622" s="231" t="s">
        <v>564</v>
      </c>
      <c r="S622" s="231" t="s">
        <v>565</v>
      </c>
      <c r="T622" s="231" t="s">
        <v>574</v>
      </c>
      <c r="U622" s="231" t="s">
        <v>573</v>
      </c>
      <c r="V622" s="231" t="s">
        <v>575</v>
      </c>
      <c r="W622" s="231" t="s">
        <v>572</v>
      </c>
      <c r="X622" s="231" t="s">
        <v>566</v>
      </c>
      <c r="Y622" s="231" t="s">
        <v>571</v>
      </c>
      <c r="AA622" s="231">
        <f t="shared" si="350"/>
        <v>0</v>
      </c>
      <c r="AB622" s="231">
        <f t="shared" si="351"/>
        <v>0</v>
      </c>
      <c r="AC622" s="231">
        <f t="shared" si="352"/>
        <v>1</v>
      </c>
      <c r="AD622" s="231">
        <f t="shared" si="353"/>
        <v>1</v>
      </c>
      <c r="AE622" s="231">
        <f t="shared" si="354"/>
        <v>1</v>
      </c>
      <c r="AF622" s="231">
        <f t="shared" si="355"/>
        <v>0</v>
      </c>
      <c r="AG622" s="231">
        <f t="shared" si="356"/>
        <v>0</v>
      </c>
      <c r="AH622" s="231">
        <f t="shared" si="357"/>
        <v>0</v>
      </c>
      <c r="AI622" s="231">
        <f t="shared" si="358"/>
        <v>1</v>
      </c>
      <c r="AJ622" s="231">
        <f t="shared" si="359"/>
        <v>1</v>
      </c>
      <c r="AK622" s="231">
        <f t="shared" si="360"/>
        <v>0</v>
      </c>
      <c r="AL622" s="231">
        <f t="shared" si="361"/>
        <v>0</v>
      </c>
      <c r="AM622" s="231">
        <f t="shared" si="362"/>
        <v>5</v>
      </c>
    </row>
    <row r="623" spans="4:39" x14ac:dyDescent="0.25">
      <c r="D623" s="231">
        <v>465</v>
      </c>
      <c r="E623" s="231" t="s">
        <v>72</v>
      </c>
      <c r="F623" s="231" t="s">
        <v>73</v>
      </c>
      <c r="G623" s="231" t="s">
        <v>74</v>
      </c>
      <c r="H623" s="231" t="s">
        <v>69</v>
      </c>
      <c r="I623" s="231" t="s">
        <v>76</v>
      </c>
      <c r="L623" s="231" t="s">
        <v>78</v>
      </c>
      <c r="O623" s="232" t="s">
        <v>517</v>
      </c>
      <c r="P623" s="231" t="s">
        <v>70</v>
      </c>
      <c r="R623" s="231" t="s">
        <v>568</v>
      </c>
      <c r="S623" s="231" t="s">
        <v>564</v>
      </c>
      <c r="T623" s="231" t="s">
        <v>574</v>
      </c>
      <c r="U623" s="231" t="s">
        <v>573</v>
      </c>
      <c r="V623" s="231" t="s">
        <v>575</v>
      </c>
      <c r="W623" s="231" t="s">
        <v>572</v>
      </c>
      <c r="X623" s="231" t="s">
        <v>570</v>
      </c>
      <c r="Y623" s="231" t="s">
        <v>571</v>
      </c>
      <c r="AA623" s="231">
        <f t="shared" si="350"/>
        <v>0</v>
      </c>
      <c r="AB623" s="231">
        <f t="shared" si="351"/>
        <v>0</v>
      </c>
      <c r="AC623" s="231">
        <f t="shared" si="352"/>
        <v>1</v>
      </c>
      <c r="AD623" s="231">
        <f t="shared" si="353"/>
        <v>1</v>
      </c>
      <c r="AE623" s="231">
        <f t="shared" si="354"/>
        <v>1</v>
      </c>
      <c r="AF623" s="231">
        <f t="shared" si="355"/>
        <v>0</v>
      </c>
      <c r="AG623" s="231">
        <f t="shared" si="356"/>
        <v>0</v>
      </c>
      <c r="AH623" s="231">
        <f t="shared" si="357"/>
        <v>0</v>
      </c>
      <c r="AI623" s="231">
        <f t="shared" si="358"/>
        <v>0</v>
      </c>
      <c r="AJ623" s="231">
        <f t="shared" si="359"/>
        <v>0</v>
      </c>
      <c r="AK623" s="231">
        <f t="shared" si="360"/>
        <v>0</v>
      </c>
      <c r="AL623" s="231">
        <f t="shared" si="361"/>
        <v>1</v>
      </c>
      <c r="AM623" s="231">
        <f t="shared" si="362"/>
        <v>4</v>
      </c>
    </row>
    <row r="624" spans="4:39" x14ac:dyDescent="0.25">
      <c r="D624" s="231">
        <v>466</v>
      </c>
      <c r="E624" s="231" t="s">
        <v>72</v>
      </c>
      <c r="F624" s="231" t="s">
        <v>73</v>
      </c>
      <c r="G624" s="231" t="s">
        <v>74</v>
      </c>
      <c r="H624" s="231" t="s">
        <v>69</v>
      </c>
      <c r="I624" s="231" t="s">
        <v>76</v>
      </c>
      <c r="L624" s="231" t="s">
        <v>78</v>
      </c>
      <c r="N624" s="231" t="s">
        <v>516</v>
      </c>
      <c r="P624" s="231" t="s">
        <v>70</v>
      </c>
      <c r="R624" s="231" t="s">
        <v>568</v>
      </c>
      <c r="S624" s="231" t="s">
        <v>565</v>
      </c>
      <c r="T624" s="231" t="s">
        <v>574</v>
      </c>
      <c r="U624" s="231" t="s">
        <v>573</v>
      </c>
      <c r="V624" s="231" t="s">
        <v>575</v>
      </c>
      <c r="W624" s="231" t="s">
        <v>572</v>
      </c>
      <c r="X624" s="231" t="s">
        <v>570</v>
      </c>
      <c r="Y624" s="231" t="s">
        <v>564</v>
      </c>
      <c r="AA624" s="231">
        <f t="shared" si="350"/>
        <v>0</v>
      </c>
      <c r="AB624" s="231">
        <f t="shared" si="351"/>
        <v>0</v>
      </c>
      <c r="AC624" s="231">
        <f t="shared" si="352"/>
        <v>1</v>
      </c>
      <c r="AD624" s="231">
        <f t="shared" si="353"/>
        <v>1</v>
      </c>
      <c r="AE624" s="231">
        <f t="shared" si="354"/>
        <v>1</v>
      </c>
      <c r="AF624" s="231">
        <f t="shared" si="355"/>
        <v>0</v>
      </c>
      <c r="AG624" s="231">
        <f t="shared" si="356"/>
        <v>0</v>
      </c>
      <c r="AH624" s="231">
        <f t="shared" si="357"/>
        <v>0</v>
      </c>
      <c r="AI624" s="231">
        <f t="shared" si="358"/>
        <v>0</v>
      </c>
      <c r="AJ624" s="231">
        <f t="shared" si="359"/>
        <v>1</v>
      </c>
      <c r="AK624" s="231">
        <f t="shared" si="360"/>
        <v>0</v>
      </c>
      <c r="AL624" s="231">
        <f t="shared" si="361"/>
        <v>1</v>
      </c>
      <c r="AM624" s="231">
        <f t="shared" si="362"/>
        <v>5</v>
      </c>
    </row>
    <row r="625" spans="4:39" x14ac:dyDescent="0.25">
      <c r="D625" s="231">
        <v>467</v>
      </c>
      <c r="E625" s="231" t="s">
        <v>72</v>
      </c>
      <c r="F625" s="231" t="s">
        <v>73</v>
      </c>
      <c r="G625" s="231" t="s">
        <v>74</v>
      </c>
      <c r="H625" s="231" t="s">
        <v>69</v>
      </c>
      <c r="I625" s="231" t="s">
        <v>76</v>
      </c>
      <c r="L625" s="231" t="s">
        <v>78</v>
      </c>
      <c r="N625" s="231" t="s">
        <v>516</v>
      </c>
      <c r="O625" s="232" t="s">
        <v>517</v>
      </c>
      <c r="R625" s="231" t="s">
        <v>568</v>
      </c>
      <c r="S625" s="231" t="s">
        <v>565</v>
      </c>
      <c r="T625" s="231" t="s">
        <v>574</v>
      </c>
      <c r="U625" s="231" t="s">
        <v>573</v>
      </c>
      <c r="V625" s="231" t="s">
        <v>575</v>
      </c>
      <c r="W625" s="231" t="s">
        <v>572</v>
      </c>
      <c r="X625" s="231" t="s">
        <v>564</v>
      </c>
      <c r="Y625" s="231" t="s">
        <v>571</v>
      </c>
      <c r="AA625" s="231">
        <f t="shared" si="350"/>
        <v>0</v>
      </c>
      <c r="AB625" s="231">
        <f t="shared" si="351"/>
        <v>0</v>
      </c>
      <c r="AC625" s="231">
        <f t="shared" si="352"/>
        <v>1</v>
      </c>
      <c r="AD625" s="231">
        <f t="shared" si="353"/>
        <v>1</v>
      </c>
      <c r="AE625" s="231">
        <f t="shared" si="354"/>
        <v>1</v>
      </c>
      <c r="AF625" s="231">
        <f t="shared" si="355"/>
        <v>0</v>
      </c>
      <c r="AG625" s="231">
        <f t="shared" si="356"/>
        <v>0</v>
      </c>
      <c r="AH625" s="231">
        <f t="shared" si="357"/>
        <v>0</v>
      </c>
      <c r="AI625" s="231">
        <f t="shared" si="358"/>
        <v>0</v>
      </c>
      <c r="AJ625" s="231">
        <f t="shared" si="359"/>
        <v>1</v>
      </c>
      <c r="AK625" s="231">
        <f t="shared" si="360"/>
        <v>0</v>
      </c>
      <c r="AL625" s="231">
        <f t="shared" si="361"/>
        <v>0</v>
      </c>
      <c r="AM625" s="231">
        <f t="shared" si="362"/>
        <v>4</v>
      </c>
    </row>
    <row r="626" spans="4:39" x14ac:dyDescent="0.25">
      <c r="D626" s="231">
        <v>468</v>
      </c>
      <c r="E626" s="231" t="s">
        <v>72</v>
      </c>
      <c r="F626" s="231" t="s">
        <v>73</v>
      </c>
      <c r="G626" s="231" t="s">
        <v>74</v>
      </c>
      <c r="H626" s="231" t="s">
        <v>69</v>
      </c>
      <c r="I626" s="231" t="s">
        <v>76</v>
      </c>
      <c r="L626" s="231" t="s">
        <v>78</v>
      </c>
      <c r="M626" s="231" t="s">
        <v>515</v>
      </c>
      <c r="P626" s="231" t="s">
        <v>70</v>
      </c>
      <c r="R626" s="231" t="s">
        <v>568</v>
      </c>
      <c r="S626" s="231" t="s">
        <v>564</v>
      </c>
      <c r="T626" s="231" t="s">
        <v>574</v>
      </c>
      <c r="U626" s="231" t="s">
        <v>573</v>
      </c>
      <c r="V626" s="231" t="s">
        <v>575</v>
      </c>
      <c r="W626" s="231" t="s">
        <v>572</v>
      </c>
      <c r="X626" s="231" t="s">
        <v>570</v>
      </c>
      <c r="Y626" s="231" t="s">
        <v>566</v>
      </c>
      <c r="AA626" s="231">
        <f t="shared" si="350"/>
        <v>0</v>
      </c>
      <c r="AB626" s="231">
        <f t="shared" si="351"/>
        <v>0</v>
      </c>
      <c r="AC626" s="231">
        <f t="shared" si="352"/>
        <v>1</v>
      </c>
      <c r="AD626" s="231">
        <f t="shared" si="353"/>
        <v>1</v>
      </c>
      <c r="AE626" s="231">
        <f t="shared" si="354"/>
        <v>1</v>
      </c>
      <c r="AF626" s="231">
        <f t="shared" si="355"/>
        <v>0</v>
      </c>
      <c r="AG626" s="231">
        <f t="shared" si="356"/>
        <v>0</v>
      </c>
      <c r="AH626" s="231">
        <f t="shared" si="357"/>
        <v>0</v>
      </c>
      <c r="AI626" s="231">
        <f t="shared" si="358"/>
        <v>1</v>
      </c>
      <c r="AJ626" s="231">
        <f t="shared" si="359"/>
        <v>0</v>
      </c>
      <c r="AK626" s="231">
        <f t="shared" si="360"/>
        <v>0</v>
      </c>
      <c r="AL626" s="231">
        <f t="shared" si="361"/>
        <v>1</v>
      </c>
      <c r="AM626" s="231">
        <f t="shared" si="362"/>
        <v>5</v>
      </c>
    </row>
    <row r="627" spans="4:39" x14ac:dyDescent="0.25">
      <c r="D627" s="231">
        <v>469</v>
      </c>
      <c r="E627" s="231" t="s">
        <v>72</v>
      </c>
      <c r="F627" s="231" t="s">
        <v>73</v>
      </c>
      <c r="G627" s="231" t="s">
        <v>74</v>
      </c>
      <c r="H627" s="231" t="s">
        <v>69</v>
      </c>
      <c r="I627" s="231" t="s">
        <v>76</v>
      </c>
      <c r="L627" s="231" t="s">
        <v>78</v>
      </c>
      <c r="M627" s="231" t="s">
        <v>515</v>
      </c>
      <c r="O627" s="232" t="s">
        <v>517</v>
      </c>
      <c r="R627" s="231" t="s">
        <v>568</v>
      </c>
      <c r="S627" s="231" t="s">
        <v>564</v>
      </c>
      <c r="T627" s="231" t="s">
        <v>574</v>
      </c>
      <c r="U627" s="231" t="s">
        <v>573</v>
      </c>
      <c r="V627" s="231" t="s">
        <v>575</v>
      </c>
      <c r="W627" s="231" t="s">
        <v>572</v>
      </c>
      <c r="X627" s="231" t="s">
        <v>566</v>
      </c>
      <c r="Y627" s="231" t="s">
        <v>571</v>
      </c>
      <c r="AA627" s="231">
        <f t="shared" si="350"/>
        <v>0</v>
      </c>
      <c r="AB627" s="231">
        <f t="shared" si="351"/>
        <v>0</v>
      </c>
      <c r="AC627" s="231">
        <f t="shared" si="352"/>
        <v>1</v>
      </c>
      <c r="AD627" s="231">
        <f t="shared" si="353"/>
        <v>1</v>
      </c>
      <c r="AE627" s="231">
        <f t="shared" si="354"/>
        <v>1</v>
      </c>
      <c r="AF627" s="231">
        <f t="shared" si="355"/>
        <v>0</v>
      </c>
      <c r="AG627" s="231">
        <f t="shared" si="356"/>
        <v>0</v>
      </c>
      <c r="AH627" s="231">
        <f t="shared" si="357"/>
        <v>0</v>
      </c>
      <c r="AI627" s="231">
        <f t="shared" si="358"/>
        <v>1</v>
      </c>
      <c r="AJ627" s="231">
        <f t="shared" si="359"/>
        <v>0</v>
      </c>
      <c r="AK627" s="231">
        <f t="shared" si="360"/>
        <v>0</v>
      </c>
      <c r="AL627" s="231">
        <f t="shared" si="361"/>
        <v>0</v>
      </c>
      <c r="AM627" s="231">
        <f t="shared" si="362"/>
        <v>4</v>
      </c>
    </row>
    <row r="628" spans="4:39" x14ac:dyDescent="0.25">
      <c r="D628" s="231">
        <v>470</v>
      </c>
      <c r="E628" s="231" t="s">
        <v>72</v>
      </c>
      <c r="F628" s="231" t="s">
        <v>73</v>
      </c>
      <c r="G628" s="231" t="s">
        <v>74</v>
      </c>
      <c r="H628" s="231" t="s">
        <v>69</v>
      </c>
      <c r="I628" s="231" t="s">
        <v>76</v>
      </c>
      <c r="L628" s="231" t="s">
        <v>78</v>
      </c>
      <c r="M628" s="231" t="s">
        <v>515</v>
      </c>
      <c r="N628" s="231" t="s">
        <v>516</v>
      </c>
      <c r="R628" s="231" t="s">
        <v>568</v>
      </c>
      <c r="S628" s="231" t="s">
        <v>565</v>
      </c>
      <c r="T628" s="231" t="s">
        <v>574</v>
      </c>
      <c r="U628" s="231" t="s">
        <v>573</v>
      </c>
      <c r="V628" s="231" t="s">
        <v>575</v>
      </c>
      <c r="W628" s="231" t="s">
        <v>572</v>
      </c>
      <c r="X628" s="231" t="s">
        <v>564</v>
      </c>
      <c r="Y628" s="231" t="s">
        <v>566</v>
      </c>
      <c r="AA628" s="231">
        <f t="shared" si="350"/>
        <v>0</v>
      </c>
      <c r="AB628" s="231">
        <f t="shared" si="351"/>
        <v>0</v>
      </c>
      <c r="AC628" s="231">
        <f t="shared" si="352"/>
        <v>1</v>
      </c>
      <c r="AD628" s="231">
        <f t="shared" si="353"/>
        <v>1</v>
      </c>
      <c r="AE628" s="231">
        <f t="shared" si="354"/>
        <v>1</v>
      </c>
      <c r="AF628" s="231">
        <f t="shared" si="355"/>
        <v>0</v>
      </c>
      <c r="AG628" s="231">
        <f t="shared" si="356"/>
        <v>0</v>
      </c>
      <c r="AH628" s="231">
        <f t="shared" si="357"/>
        <v>0</v>
      </c>
      <c r="AI628" s="231">
        <f t="shared" si="358"/>
        <v>1</v>
      </c>
      <c r="AJ628" s="231">
        <f t="shared" si="359"/>
        <v>1</v>
      </c>
      <c r="AK628" s="231">
        <f t="shared" si="360"/>
        <v>0</v>
      </c>
      <c r="AL628" s="231">
        <f t="shared" si="361"/>
        <v>0</v>
      </c>
      <c r="AM628" s="231">
        <f t="shared" si="362"/>
        <v>5</v>
      </c>
    </row>
    <row r="629" spans="4:39" x14ac:dyDescent="0.25">
      <c r="D629" s="231">
        <v>471</v>
      </c>
      <c r="E629" s="231" t="s">
        <v>72</v>
      </c>
      <c r="F629" s="231" t="s">
        <v>73</v>
      </c>
      <c r="G629" s="231" t="s">
        <v>74</v>
      </c>
      <c r="H629" s="231" t="s">
        <v>69</v>
      </c>
      <c r="I629" s="231" t="s">
        <v>76</v>
      </c>
      <c r="K629" s="231" t="s">
        <v>77</v>
      </c>
      <c r="O629" s="232" t="s">
        <v>517</v>
      </c>
      <c r="P629" s="231" t="s">
        <v>70</v>
      </c>
      <c r="R629" s="231" t="s">
        <v>564</v>
      </c>
      <c r="S629" s="231" t="s">
        <v>569</v>
      </c>
      <c r="T629" s="231" t="s">
        <v>574</v>
      </c>
      <c r="U629" s="231" t="s">
        <v>573</v>
      </c>
      <c r="V629" s="231" t="s">
        <v>575</v>
      </c>
      <c r="W629" s="231" t="s">
        <v>572</v>
      </c>
      <c r="X629" s="231" t="s">
        <v>570</v>
      </c>
      <c r="Y629" s="231" t="s">
        <v>571</v>
      </c>
      <c r="AA629" s="231">
        <f t="shared" si="350"/>
        <v>0</v>
      </c>
      <c r="AB629" s="231">
        <f t="shared" si="351"/>
        <v>0</v>
      </c>
      <c r="AC629" s="231">
        <f t="shared" si="352"/>
        <v>1</v>
      </c>
      <c r="AD629" s="231">
        <f t="shared" si="353"/>
        <v>1</v>
      </c>
      <c r="AE629" s="231">
        <f t="shared" si="354"/>
        <v>1</v>
      </c>
      <c r="AF629" s="231">
        <f t="shared" si="355"/>
        <v>0</v>
      </c>
      <c r="AG629" s="231">
        <f t="shared" si="356"/>
        <v>1</v>
      </c>
      <c r="AH629" s="231">
        <f t="shared" si="357"/>
        <v>0</v>
      </c>
      <c r="AI629" s="231">
        <f t="shared" si="358"/>
        <v>0</v>
      </c>
      <c r="AJ629" s="231">
        <f t="shared" si="359"/>
        <v>0</v>
      </c>
      <c r="AK629" s="231">
        <f t="shared" si="360"/>
        <v>0</v>
      </c>
      <c r="AL629" s="231">
        <f t="shared" si="361"/>
        <v>1</v>
      </c>
      <c r="AM629" s="231">
        <f t="shared" si="362"/>
        <v>5</v>
      </c>
    </row>
    <row r="630" spans="4:39" x14ac:dyDescent="0.25">
      <c r="D630" s="231">
        <v>472</v>
      </c>
      <c r="E630" s="231" t="s">
        <v>72</v>
      </c>
      <c r="F630" s="231" t="s">
        <v>73</v>
      </c>
      <c r="G630" s="231" t="s">
        <v>74</v>
      </c>
      <c r="H630" s="231" t="s">
        <v>69</v>
      </c>
      <c r="I630" s="231" t="s">
        <v>76</v>
      </c>
      <c r="K630" s="231" t="s">
        <v>77</v>
      </c>
      <c r="N630" s="231" t="s">
        <v>516</v>
      </c>
      <c r="P630" s="231" t="s">
        <v>70</v>
      </c>
      <c r="R630" s="231" t="s">
        <v>564</v>
      </c>
      <c r="S630" s="231" t="s">
        <v>569</v>
      </c>
      <c r="T630" s="231" t="s">
        <v>574</v>
      </c>
      <c r="U630" s="231" t="s">
        <v>573</v>
      </c>
      <c r="V630" s="231" t="s">
        <v>575</v>
      </c>
      <c r="W630" s="231" t="s">
        <v>572</v>
      </c>
      <c r="X630" s="231" t="s">
        <v>570</v>
      </c>
      <c r="Y630" s="231" t="s">
        <v>565</v>
      </c>
      <c r="AA630" s="231">
        <f t="shared" si="350"/>
        <v>0</v>
      </c>
      <c r="AB630" s="231">
        <f t="shared" si="351"/>
        <v>0</v>
      </c>
      <c r="AC630" s="231">
        <f t="shared" si="352"/>
        <v>1</v>
      </c>
      <c r="AD630" s="231">
        <f t="shared" si="353"/>
        <v>1</v>
      </c>
      <c r="AE630" s="231">
        <f t="shared" si="354"/>
        <v>1</v>
      </c>
      <c r="AF630" s="231">
        <f t="shared" si="355"/>
        <v>0</v>
      </c>
      <c r="AG630" s="231">
        <f t="shared" si="356"/>
        <v>1</v>
      </c>
      <c r="AH630" s="231">
        <f t="shared" si="357"/>
        <v>0</v>
      </c>
      <c r="AI630" s="231">
        <f t="shared" si="358"/>
        <v>0</v>
      </c>
      <c r="AJ630" s="231">
        <f t="shared" si="359"/>
        <v>1</v>
      </c>
      <c r="AK630" s="231">
        <f t="shared" si="360"/>
        <v>0</v>
      </c>
      <c r="AL630" s="231">
        <f t="shared" si="361"/>
        <v>1</v>
      </c>
      <c r="AM630" s="231">
        <f t="shared" si="362"/>
        <v>6</v>
      </c>
    </row>
    <row r="631" spans="4:39" x14ac:dyDescent="0.25">
      <c r="D631" s="231">
        <v>473</v>
      </c>
      <c r="E631" s="231" t="s">
        <v>72</v>
      </c>
      <c r="F631" s="231" t="s">
        <v>73</v>
      </c>
      <c r="G631" s="231" t="s">
        <v>74</v>
      </c>
      <c r="H631" s="231" t="s">
        <v>69</v>
      </c>
      <c r="I631" s="231" t="s">
        <v>76</v>
      </c>
      <c r="K631" s="231" t="s">
        <v>77</v>
      </c>
      <c r="N631" s="231" t="s">
        <v>516</v>
      </c>
      <c r="O631" s="232" t="s">
        <v>517</v>
      </c>
      <c r="R631" s="231" t="s">
        <v>564</v>
      </c>
      <c r="S631" s="231" t="s">
        <v>569</v>
      </c>
      <c r="T631" s="231" t="s">
        <v>574</v>
      </c>
      <c r="U631" s="231" t="s">
        <v>573</v>
      </c>
      <c r="V631" s="231" t="s">
        <v>575</v>
      </c>
      <c r="W631" s="231" t="s">
        <v>572</v>
      </c>
      <c r="X631" s="231" t="s">
        <v>565</v>
      </c>
      <c r="Y631" s="231" t="s">
        <v>571</v>
      </c>
      <c r="AA631" s="231">
        <f t="shared" si="350"/>
        <v>0</v>
      </c>
      <c r="AB631" s="231">
        <f t="shared" si="351"/>
        <v>0</v>
      </c>
      <c r="AC631" s="231">
        <f t="shared" si="352"/>
        <v>1</v>
      </c>
      <c r="AD631" s="231">
        <f t="shared" si="353"/>
        <v>1</v>
      </c>
      <c r="AE631" s="231">
        <f t="shared" si="354"/>
        <v>1</v>
      </c>
      <c r="AF631" s="231">
        <f t="shared" si="355"/>
        <v>0</v>
      </c>
      <c r="AG631" s="231">
        <f t="shared" si="356"/>
        <v>1</v>
      </c>
      <c r="AH631" s="231">
        <f t="shared" si="357"/>
        <v>0</v>
      </c>
      <c r="AI631" s="231">
        <f t="shared" si="358"/>
        <v>0</v>
      </c>
      <c r="AJ631" s="231">
        <f t="shared" si="359"/>
        <v>1</v>
      </c>
      <c r="AK631" s="231">
        <f t="shared" si="360"/>
        <v>0</v>
      </c>
      <c r="AL631" s="231">
        <f t="shared" si="361"/>
        <v>0</v>
      </c>
      <c r="AM631" s="231">
        <f t="shared" si="362"/>
        <v>5</v>
      </c>
    </row>
    <row r="632" spans="4:39" x14ac:dyDescent="0.25">
      <c r="D632" s="231">
        <v>474</v>
      </c>
      <c r="E632" s="231" t="s">
        <v>72</v>
      </c>
      <c r="F632" s="231" t="s">
        <v>73</v>
      </c>
      <c r="G632" s="231" t="s">
        <v>74</v>
      </c>
      <c r="H632" s="231" t="s">
        <v>69</v>
      </c>
      <c r="I632" s="231" t="s">
        <v>76</v>
      </c>
      <c r="K632" s="231" t="s">
        <v>77</v>
      </c>
      <c r="M632" s="231" t="s">
        <v>515</v>
      </c>
      <c r="P632" s="231" t="s">
        <v>70</v>
      </c>
      <c r="R632" s="231" t="s">
        <v>564</v>
      </c>
      <c r="S632" s="231" t="s">
        <v>569</v>
      </c>
      <c r="T632" s="231" t="s">
        <v>574</v>
      </c>
      <c r="U632" s="231" t="s">
        <v>573</v>
      </c>
      <c r="V632" s="231" t="s">
        <v>575</v>
      </c>
      <c r="W632" s="231" t="s">
        <v>572</v>
      </c>
      <c r="X632" s="231" t="s">
        <v>570</v>
      </c>
      <c r="Y632" s="231" t="s">
        <v>566</v>
      </c>
      <c r="AA632" s="231">
        <f t="shared" si="350"/>
        <v>0</v>
      </c>
      <c r="AB632" s="231">
        <f t="shared" si="351"/>
        <v>0</v>
      </c>
      <c r="AC632" s="231">
        <f t="shared" si="352"/>
        <v>1</v>
      </c>
      <c r="AD632" s="231">
        <f t="shared" si="353"/>
        <v>1</v>
      </c>
      <c r="AE632" s="231">
        <f t="shared" si="354"/>
        <v>1</v>
      </c>
      <c r="AF632" s="231">
        <f t="shared" si="355"/>
        <v>0</v>
      </c>
      <c r="AG632" s="231">
        <f t="shared" si="356"/>
        <v>1</v>
      </c>
      <c r="AH632" s="231">
        <f t="shared" si="357"/>
        <v>0</v>
      </c>
      <c r="AI632" s="231">
        <f t="shared" si="358"/>
        <v>1</v>
      </c>
      <c r="AJ632" s="231">
        <f t="shared" si="359"/>
        <v>0</v>
      </c>
      <c r="AK632" s="231">
        <f t="shared" si="360"/>
        <v>0</v>
      </c>
      <c r="AL632" s="231">
        <f t="shared" si="361"/>
        <v>1</v>
      </c>
      <c r="AM632" s="231">
        <f t="shared" si="362"/>
        <v>6</v>
      </c>
    </row>
    <row r="633" spans="4:39" x14ac:dyDescent="0.25">
      <c r="D633" s="231">
        <v>475</v>
      </c>
      <c r="E633" s="231" t="s">
        <v>72</v>
      </c>
      <c r="F633" s="231" t="s">
        <v>73</v>
      </c>
      <c r="G633" s="231" t="s">
        <v>74</v>
      </c>
      <c r="H633" s="231" t="s">
        <v>69</v>
      </c>
      <c r="I633" s="231" t="s">
        <v>76</v>
      </c>
      <c r="K633" s="231" t="s">
        <v>77</v>
      </c>
      <c r="M633" s="231" t="s">
        <v>515</v>
      </c>
      <c r="O633" s="232" t="s">
        <v>517</v>
      </c>
      <c r="R633" s="231" t="s">
        <v>564</v>
      </c>
      <c r="S633" s="231" t="s">
        <v>569</v>
      </c>
      <c r="T633" s="231" t="s">
        <v>574</v>
      </c>
      <c r="U633" s="231" t="s">
        <v>573</v>
      </c>
      <c r="V633" s="231" t="s">
        <v>575</v>
      </c>
      <c r="W633" s="231" t="s">
        <v>572</v>
      </c>
      <c r="X633" s="231" t="s">
        <v>566</v>
      </c>
      <c r="Y633" s="231" t="s">
        <v>571</v>
      </c>
      <c r="AA633" s="231">
        <f t="shared" si="350"/>
        <v>0</v>
      </c>
      <c r="AB633" s="231">
        <f t="shared" si="351"/>
        <v>0</v>
      </c>
      <c r="AC633" s="231">
        <f t="shared" si="352"/>
        <v>1</v>
      </c>
      <c r="AD633" s="231">
        <f t="shared" si="353"/>
        <v>1</v>
      </c>
      <c r="AE633" s="231">
        <f t="shared" si="354"/>
        <v>1</v>
      </c>
      <c r="AF633" s="231">
        <f t="shared" si="355"/>
        <v>0</v>
      </c>
      <c r="AG633" s="231">
        <f t="shared" si="356"/>
        <v>1</v>
      </c>
      <c r="AH633" s="231">
        <f t="shared" si="357"/>
        <v>0</v>
      </c>
      <c r="AI633" s="231">
        <f t="shared" si="358"/>
        <v>1</v>
      </c>
      <c r="AJ633" s="231">
        <f t="shared" si="359"/>
        <v>0</v>
      </c>
      <c r="AK633" s="231">
        <f t="shared" si="360"/>
        <v>0</v>
      </c>
      <c r="AL633" s="231">
        <f t="shared" si="361"/>
        <v>0</v>
      </c>
      <c r="AM633" s="231">
        <f t="shared" si="362"/>
        <v>5</v>
      </c>
    </row>
    <row r="634" spans="4:39" x14ac:dyDescent="0.25">
      <c r="D634" s="231">
        <v>476</v>
      </c>
      <c r="E634" s="231" t="s">
        <v>72</v>
      </c>
      <c r="F634" s="231" t="s">
        <v>73</v>
      </c>
      <c r="G634" s="231" t="s">
        <v>74</v>
      </c>
      <c r="H634" s="231" t="s">
        <v>69</v>
      </c>
      <c r="I634" s="231" t="s">
        <v>76</v>
      </c>
      <c r="K634" s="231" t="s">
        <v>77</v>
      </c>
      <c r="M634" s="231" t="s">
        <v>515</v>
      </c>
      <c r="N634" s="231" t="s">
        <v>516</v>
      </c>
      <c r="R634" s="231" t="s">
        <v>564</v>
      </c>
      <c r="S634" s="231" t="s">
        <v>569</v>
      </c>
      <c r="T634" s="231" t="s">
        <v>574</v>
      </c>
      <c r="U634" s="231" t="s">
        <v>573</v>
      </c>
      <c r="V634" s="231" t="s">
        <v>575</v>
      </c>
      <c r="W634" s="231" t="s">
        <v>572</v>
      </c>
      <c r="X634" s="231" t="s">
        <v>566</v>
      </c>
      <c r="Y634" s="231" t="s">
        <v>565</v>
      </c>
      <c r="AA634" s="231">
        <f t="shared" si="350"/>
        <v>0</v>
      </c>
      <c r="AB634" s="231">
        <f t="shared" si="351"/>
        <v>0</v>
      </c>
      <c r="AC634" s="231">
        <f t="shared" si="352"/>
        <v>1</v>
      </c>
      <c r="AD634" s="231">
        <f t="shared" si="353"/>
        <v>1</v>
      </c>
      <c r="AE634" s="231">
        <f t="shared" si="354"/>
        <v>1</v>
      </c>
      <c r="AF634" s="231">
        <f t="shared" si="355"/>
        <v>0</v>
      </c>
      <c r="AG634" s="231">
        <f t="shared" si="356"/>
        <v>1</v>
      </c>
      <c r="AH634" s="231">
        <f t="shared" si="357"/>
        <v>0</v>
      </c>
      <c r="AI634" s="231">
        <f t="shared" si="358"/>
        <v>1</v>
      </c>
      <c r="AJ634" s="231">
        <f t="shared" si="359"/>
        <v>1</v>
      </c>
      <c r="AK634" s="231">
        <f t="shared" si="360"/>
        <v>0</v>
      </c>
      <c r="AL634" s="231">
        <f t="shared" si="361"/>
        <v>0</v>
      </c>
      <c r="AM634" s="231">
        <f t="shared" si="362"/>
        <v>6</v>
      </c>
    </row>
    <row r="635" spans="4:39" x14ac:dyDescent="0.25">
      <c r="D635" s="231">
        <v>477</v>
      </c>
      <c r="E635" s="231" t="s">
        <v>72</v>
      </c>
      <c r="F635" s="231" t="s">
        <v>73</v>
      </c>
      <c r="G635" s="231" t="s">
        <v>74</v>
      </c>
      <c r="H635" s="231" t="s">
        <v>69</v>
      </c>
      <c r="I635" s="231" t="s">
        <v>76</v>
      </c>
      <c r="K635" s="231" t="s">
        <v>77</v>
      </c>
      <c r="L635" s="231" t="s">
        <v>78</v>
      </c>
      <c r="P635" s="231" t="s">
        <v>70</v>
      </c>
      <c r="R635" s="231" t="s">
        <v>568</v>
      </c>
      <c r="S635" s="231" t="s">
        <v>569</v>
      </c>
      <c r="T635" s="231" t="s">
        <v>574</v>
      </c>
      <c r="U635" s="231" t="s">
        <v>573</v>
      </c>
      <c r="V635" s="231" t="s">
        <v>575</v>
      </c>
      <c r="W635" s="231" t="s">
        <v>572</v>
      </c>
      <c r="X635" s="231" t="s">
        <v>570</v>
      </c>
      <c r="Y635" s="231" t="s">
        <v>564</v>
      </c>
      <c r="AA635" s="231">
        <f t="shared" si="350"/>
        <v>0</v>
      </c>
      <c r="AB635" s="231">
        <f t="shared" si="351"/>
        <v>0</v>
      </c>
      <c r="AC635" s="231">
        <f t="shared" si="352"/>
        <v>1</v>
      </c>
      <c r="AD635" s="231">
        <f t="shared" si="353"/>
        <v>1</v>
      </c>
      <c r="AE635" s="231">
        <f t="shared" si="354"/>
        <v>1</v>
      </c>
      <c r="AF635" s="231">
        <f t="shared" si="355"/>
        <v>0</v>
      </c>
      <c r="AG635" s="231">
        <f t="shared" si="356"/>
        <v>1</v>
      </c>
      <c r="AH635" s="231">
        <f t="shared" si="357"/>
        <v>0</v>
      </c>
      <c r="AI635" s="231">
        <f t="shared" si="358"/>
        <v>0</v>
      </c>
      <c r="AJ635" s="231">
        <f t="shared" si="359"/>
        <v>0</v>
      </c>
      <c r="AK635" s="231">
        <f t="shared" si="360"/>
        <v>0</v>
      </c>
      <c r="AL635" s="231">
        <f t="shared" si="361"/>
        <v>1</v>
      </c>
      <c r="AM635" s="231">
        <f t="shared" si="362"/>
        <v>5</v>
      </c>
    </row>
    <row r="636" spans="4:39" x14ac:dyDescent="0.25">
      <c r="D636" s="231">
        <v>478</v>
      </c>
      <c r="E636" s="231" t="s">
        <v>72</v>
      </c>
      <c r="F636" s="231" t="s">
        <v>73</v>
      </c>
      <c r="G636" s="231" t="s">
        <v>74</v>
      </c>
      <c r="H636" s="231" t="s">
        <v>69</v>
      </c>
      <c r="I636" s="231" t="s">
        <v>76</v>
      </c>
      <c r="K636" s="231" t="s">
        <v>77</v>
      </c>
      <c r="L636" s="231" t="s">
        <v>78</v>
      </c>
      <c r="O636" s="232" t="s">
        <v>517</v>
      </c>
      <c r="R636" s="231" t="s">
        <v>568</v>
      </c>
      <c r="S636" s="231" t="s">
        <v>569</v>
      </c>
      <c r="T636" s="231" t="s">
        <v>574</v>
      </c>
      <c r="U636" s="231" t="s">
        <v>573</v>
      </c>
      <c r="V636" s="231" t="s">
        <v>575</v>
      </c>
      <c r="W636" s="231" t="s">
        <v>572</v>
      </c>
      <c r="X636" s="231" t="s">
        <v>564</v>
      </c>
      <c r="Y636" s="231" t="s">
        <v>571</v>
      </c>
      <c r="AA636" s="231">
        <f t="shared" si="350"/>
        <v>0</v>
      </c>
      <c r="AB636" s="231">
        <f t="shared" si="351"/>
        <v>0</v>
      </c>
      <c r="AC636" s="231">
        <f t="shared" si="352"/>
        <v>1</v>
      </c>
      <c r="AD636" s="231">
        <f t="shared" si="353"/>
        <v>1</v>
      </c>
      <c r="AE636" s="231">
        <f t="shared" si="354"/>
        <v>1</v>
      </c>
      <c r="AF636" s="231">
        <f t="shared" si="355"/>
        <v>0</v>
      </c>
      <c r="AG636" s="231">
        <f t="shared" si="356"/>
        <v>1</v>
      </c>
      <c r="AH636" s="231">
        <f t="shared" si="357"/>
        <v>0</v>
      </c>
      <c r="AI636" s="231">
        <f t="shared" si="358"/>
        <v>0</v>
      </c>
      <c r="AJ636" s="231">
        <f t="shared" si="359"/>
        <v>0</v>
      </c>
      <c r="AK636" s="231">
        <f t="shared" si="360"/>
        <v>0</v>
      </c>
      <c r="AL636" s="231">
        <f t="shared" si="361"/>
        <v>0</v>
      </c>
      <c r="AM636" s="231">
        <f t="shared" si="362"/>
        <v>4</v>
      </c>
    </row>
    <row r="637" spans="4:39" x14ac:dyDescent="0.25">
      <c r="D637" s="231">
        <v>479</v>
      </c>
      <c r="E637" s="231" t="s">
        <v>72</v>
      </c>
      <c r="F637" s="231" t="s">
        <v>73</v>
      </c>
      <c r="G637" s="231" t="s">
        <v>74</v>
      </c>
      <c r="H637" s="231" t="s">
        <v>69</v>
      </c>
      <c r="I637" s="231" t="s">
        <v>76</v>
      </c>
      <c r="K637" s="231" t="s">
        <v>77</v>
      </c>
      <c r="L637" s="231" t="s">
        <v>78</v>
      </c>
      <c r="N637" s="231" t="s">
        <v>516</v>
      </c>
      <c r="R637" s="231" t="s">
        <v>568</v>
      </c>
      <c r="S637" s="231" t="s">
        <v>569</v>
      </c>
      <c r="T637" s="231" t="s">
        <v>574</v>
      </c>
      <c r="U637" s="231" t="s">
        <v>573</v>
      </c>
      <c r="V637" s="231" t="s">
        <v>575</v>
      </c>
      <c r="W637" s="231" t="s">
        <v>572</v>
      </c>
      <c r="X637" s="231" t="s">
        <v>564</v>
      </c>
      <c r="Y637" s="231" t="s">
        <v>565</v>
      </c>
      <c r="AA637" s="231">
        <f t="shared" si="350"/>
        <v>0</v>
      </c>
      <c r="AB637" s="231">
        <f t="shared" si="351"/>
        <v>0</v>
      </c>
      <c r="AC637" s="231">
        <f t="shared" si="352"/>
        <v>1</v>
      </c>
      <c r="AD637" s="231">
        <f t="shared" si="353"/>
        <v>1</v>
      </c>
      <c r="AE637" s="231">
        <f t="shared" si="354"/>
        <v>1</v>
      </c>
      <c r="AF637" s="231">
        <f t="shared" si="355"/>
        <v>0</v>
      </c>
      <c r="AG637" s="231">
        <f t="shared" si="356"/>
        <v>1</v>
      </c>
      <c r="AH637" s="231">
        <f t="shared" si="357"/>
        <v>0</v>
      </c>
      <c r="AI637" s="231">
        <f t="shared" si="358"/>
        <v>0</v>
      </c>
      <c r="AJ637" s="231">
        <f t="shared" si="359"/>
        <v>1</v>
      </c>
      <c r="AK637" s="231">
        <f t="shared" si="360"/>
        <v>0</v>
      </c>
      <c r="AL637" s="231">
        <f t="shared" si="361"/>
        <v>0</v>
      </c>
      <c r="AM637" s="231">
        <f t="shared" si="362"/>
        <v>5</v>
      </c>
    </row>
    <row r="638" spans="4:39" x14ac:dyDescent="0.25">
      <c r="D638" s="231">
        <v>480</v>
      </c>
      <c r="E638" s="231" t="s">
        <v>72</v>
      </c>
      <c r="F638" s="231" t="s">
        <v>73</v>
      </c>
      <c r="G638" s="231" t="s">
        <v>74</v>
      </c>
      <c r="H638" s="231" t="s">
        <v>69</v>
      </c>
      <c r="I638" s="231" t="s">
        <v>76</v>
      </c>
      <c r="K638" s="231" t="s">
        <v>77</v>
      </c>
      <c r="L638" s="231" t="s">
        <v>78</v>
      </c>
      <c r="M638" s="231" t="s">
        <v>515</v>
      </c>
      <c r="R638" s="231" t="s">
        <v>568</v>
      </c>
      <c r="S638" s="231" t="s">
        <v>569</v>
      </c>
      <c r="T638" s="231" t="s">
        <v>574</v>
      </c>
      <c r="U638" s="231" t="s">
        <v>573</v>
      </c>
      <c r="V638" s="231" t="s">
        <v>575</v>
      </c>
      <c r="W638" s="231" t="s">
        <v>572</v>
      </c>
      <c r="X638" s="231" t="s">
        <v>564</v>
      </c>
      <c r="Y638" s="231" t="s">
        <v>566</v>
      </c>
      <c r="AA638" s="231">
        <f t="shared" si="350"/>
        <v>0</v>
      </c>
      <c r="AB638" s="231">
        <f t="shared" si="351"/>
        <v>0</v>
      </c>
      <c r="AC638" s="231">
        <f t="shared" si="352"/>
        <v>1</v>
      </c>
      <c r="AD638" s="231">
        <f t="shared" si="353"/>
        <v>1</v>
      </c>
      <c r="AE638" s="231">
        <f t="shared" si="354"/>
        <v>1</v>
      </c>
      <c r="AF638" s="231">
        <f t="shared" si="355"/>
        <v>0</v>
      </c>
      <c r="AG638" s="231">
        <f t="shared" si="356"/>
        <v>1</v>
      </c>
      <c r="AH638" s="231">
        <f t="shared" si="357"/>
        <v>0</v>
      </c>
      <c r="AI638" s="231">
        <f t="shared" si="358"/>
        <v>1</v>
      </c>
      <c r="AJ638" s="231">
        <f t="shared" si="359"/>
        <v>0</v>
      </c>
      <c r="AK638" s="231">
        <f t="shared" si="360"/>
        <v>0</v>
      </c>
      <c r="AL638" s="231">
        <f t="shared" si="361"/>
        <v>0</v>
      </c>
      <c r="AM638" s="231">
        <f t="shared" si="362"/>
        <v>5</v>
      </c>
    </row>
    <row r="639" spans="4:39" x14ac:dyDescent="0.25">
      <c r="D639" s="231">
        <v>481</v>
      </c>
      <c r="E639" s="231" t="s">
        <v>72</v>
      </c>
      <c r="F639" s="231" t="s">
        <v>73</v>
      </c>
      <c r="G639" s="231" t="s">
        <v>74</v>
      </c>
      <c r="H639" s="231" t="s">
        <v>69</v>
      </c>
      <c r="I639" s="231" t="s">
        <v>76</v>
      </c>
      <c r="J639" s="231" t="s">
        <v>75</v>
      </c>
      <c r="O639" s="232" t="s">
        <v>517</v>
      </c>
      <c r="P639" s="231" t="s">
        <v>70</v>
      </c>
      <c r="R639" s="231" t="s">
        <v>573</v>
      </c>
      <c r="S639" s="231" t="s">
        <v>564</v>
      </c>
      <c r="T639" s="231" t="s">
        <v>574</v>
      </c>
      <c r="U639" s="231" t="s">
        <v>572</v>
      </c>
      <c r="V639" s="231" t="s">
        <v>575</v>
      </c>
      <c r="W639" s="231" t="s">
        <v>567</v>
      </c>
      <c r="X639" s="231" t="s">
        <v>570</v>
      </c>
      <c r="Y639" s="231" t="s">
        <v>571</v>
      </c>
      <c r="AA639" s="231">
        <f t="shared" si="350"/>
        <v>0</v>
      </c>
      <c r="AB639" s="231">
        <f t="shared" si="351"/>
        <v>0</v>
      </c>
      <c r="AC639" s="231">
        <f t="shared" si="352"/>
        <v>1</v>
      </c>
      <c r="AD639" s="231">
        <f t="shared" si="353"/>
        <v>1</v>
      </c>
      <c r="AE639" s="231">
        <f t="shared" si="354"/>
        <v>1</v>
      </c>
      <c r="AF639" s="231">
        <f t="shared" si="355"/>
        <v>1</v>
      </c>
      <c r="AG639" s="231">
        <f t="shared" si="356"/>
        <v>0</v>
      </c>
      <c r="AH639" s="231">
        <f t="shared" si="357"/>
        <v>0</v>
      </c>
      <c r="AI639" s="231">
        <f t="shared" si="358"/>
        <v>0</v>
      </c>
      <c r="AJ639" s="231">
        <f t="shared" si="359"/>
        <v>0</v>
      </c>
      <c r="AK639" s="231">
        <f t="shared" si="360"/>
        <v>0</v>
      </c>
      <c r="AL639" s="231">
        <f t="shared" si="361"/>
        <v>1</v>
      </c>
      <c r="AM639" s="231">
        <f t="shared" si="362"/>
        <v>5</v>
      </c>
    </row>
    <row r="640" spans="4:39" x14ac:dyDescent="0.25">
      <c r="D640" s="231">
        <v>482</v>
      </c>
      <c r="E640" s="231" t="s">
        <v>72</v>
      </c>
      <c r="F640" s="231" t="s">
        <v>73</v>
      </c>
      <c r="G640" s="231" t="s">
        <v>74</v>
      </c>
      <c r="H640" s="231" t="s">
        <v>69</v>
      </c>
      <c r="I640" s="231" t="s">
        <v>76</v>
      </c>
      <c r="J640" s="231" t="s">
        <v>75</v>
      </c>
      <c r="N640" s="231" t="s">
        <v>516</v>
      </c>
      <c r="P640" s="231" t="s">
        <v>70</v>
      </c>
      <c r="R640" s="231" t="s">
        <v>573</v>
      </c>
      <c r="S640" s="231" t="s">
        <v>565</v>
      </c>
      <c r="T640" s="231" t="s">
        <v>574</v>
      </c>
      <c r="U640" s="231" t="s">
        <v>572</v>
      </c>
      <c r="V640" s="231" t="s">
        <v>575</v>
      </c>
      <c r="W640" s="231" t="s">
        <v>567</v>
      </c>
      <c r="X640" s="231" t="s">
        <v>570</v>
      </c>
      <c r="Y640" s="231" t="s">
        <v>564</v>
      </c>
      <c r="AA640" s="231">
        <f t="shared" si="350"/>
        <v>0</v>
      </c>
      <c r="AB640" s="231">
        <f t="shared" si="351"/>
        <v>0</v>
      </c>
      <c r="AC640" s="231">
        <f t="shared" si="352"/>
        <v>1</v>
      </c>
      <c r="AD640" s="231">
        <f t="shared" si="353"/>
        <v>1</v>
      </c>
      <c r="AE640" s="231">
        <f t="shared" si="354"/>
        <v>1</v>
      </c>
      <c r="AF640" s="231">
        <f t="shared" si="355"/>
        <v>1</v>
      </c>
      <c r="AG640" s="231">
        <f t="shared" si="356"/>
        <v>0</v>
      </c>
      <c r="AH640" s="231">
        <f t="shared" si="357"/>
        <v>0</v>
      </c>
      <c r="AI640" s="231">
        <f t="shared" si="358"/>
        <v>0</v>
      </c>
      <c r="AJ640" s="231">
        <f t="shared" si="359"/>
        <v>1</v>
      </c>
      <c r="AK640" s="231">
        <f t="shared" si="360"/>
        <v>0</v>
      </c>
      <c r="AL640" s="231">
        <f t="shared" si="361"/>
        <v>1</v>
      </c>
      <c r="AM640" s="231">
        <f t="shared" si="362"/>
        <v>6</v>
      </c>
    </row>
    <row r="641" spans="4:39" x14ac:dyDescent="0.25">
      <c r="D641" s="231">
        <v>483</v>
      </c>
      <c r="E641" s="231" t="s">
        <v>72</v>
      </c>
      <c r="F641" s="231" t="s">
        <v>73</v>
      </c>
      <c r="G641" s="231" t="s">
        <v>74</v>
      </c>
      <c r="H641" s="231" t="s">
        <v>69</v>
      </c>
      <c r="I641" s="231" t="s">
        <v>76</v>
      </c>
      <c r="J641" s="231" t="s">
        <v>75</v>
      </c>
      <c r="N641" s="231" t="s">
        <v>516</v>
      </c>
      <c r="O641" s="232" t="s">
        <v>517</v>
      </c>
      <c r="R641" s="231" t="s">
        <v>573</v>
      </c>
      <c r="S641" s="231" t="s">
        <v>565</v>
      </c>
      <c r="T641" s="231" t="s">
        <v>574</v>
      </c>
      <c r="U641" s="231" t="s">
        <v>572</v>
      </c>
      <c r="V641" s="231" t="s">
        <v>575</v>
      </c>
      <c r="W641" s="231" t="s">
        <v>567</v>
      </c>
      <c r="X641" s="231" t="s">
        <v>564</v>
      </c>
      <c r="Y641" s="231" t="s">
        <v>571</v>
      </c>
      <c r="AA641" s="231">
        <f t="shared" si="350"/>
        <v>0</v>
      </c>
      <c r="AB641" s="231">
        <f t="shared" si="351"/>
        <v>0</v>
      </c>
      <c r="AC641" s="231">
        <f t="shared" si="352"/>
        <v>1</v>
      </c>
      <c r="AD641" s="231">
        <f t="shared" si="353"/>
        <v>1</v>
      </c>
      <c r="AE641" s="231">
        <f t="shared" si="354"/>
        <v>1</v>
      </c>
      <c r="AF641" s="231">
        <f t="shared" si="355"/>
        <v>1</v>
      </c>
      <c r="AG641" s="231">
        <f t="shared" si="356"/>
        <v>0</v>
      </c>
      <c r="AH641" s="231">
        <f t="shared" si="357"/>
        <v>0</v>
      </c>
      <c r="AI641" s="231">
        <f t="shared" si="358"/>
        <v>0</v>
      </c>
      <c r="AJ641" s="231">
        <f t="shared" si="359"/>
        <v>1</v>
      </c>
      <c r="AK641" s="231">
        <f t="shared" si="360"/>
        <v>0</v>
      </c>
      <c r="AL641" s="231">
        <f t="shared" si="361"/>
        <v>0</v>
      </c>
      <c r="AM641" s="231">
        <f t="shared" si="362"/>
        <v>5</v>
      </c>
    </row>
    <row r="642" spans="4:39" x14ac:dyDescent="0.25">
      <c r="D642" s="231">
        <v>484</v>
      </c>
      <c r="E642" s="231" t="s">
        <v>72</v>
      </c>
      <c r="F642" s="231" t="s">
        <v>73</v>
      </c>
      <c r="G642" s="231" t="s">
        <v>74</v>
      </c>
      <c r="H642" s="231" t="s">
        <v>69</v>
      </c>
      <c r="I642" s="231" t="s">
        <v>76</v>
      </c>
      <c r="J642" s="231" t="s">
        <v>75</v>
      </c>
      <c r="M642" s="231" t="s">
        <v>515</v>
      </c>
      <c r="P642" s="231" t="s">
        <v>70</v>
      </c>
      <c r="R642" s="231" t="s">
        <v>573</v>
      </c>
      <c r="S642" s="231" t="s">
        <v>564</v>
      </c>
      <c r="T642" s="231" t="s">
        <v>574</v>
      </c>
      <c r="U642" s="231" t="s">
        <v>572</v>
      </c>
      <c r="V642" s="231" t="s">
        <v>575</v>
      </c>
      <c r="W642" s="231" t="s">
        <v>567</v>
      </c>
      <c r="X642" s="231" t="s">
        <v>570</v>
      </c>
      <c r="Y642" s="231" t="s">
        <v>566</v>
      </c>
      <c r="AA642" s="231">
        <f t="shared" si="350"/>
        <v>0</v>
      </c>
      <c r="AB642" s="231">
        <f t="shared" si="351"/>
        <v>0</v>
      </c>
      <c r="AC642" s="231">
        <f t="shared" si="352"/>
        <v>1</v>
      </c>
      <c r="AD642" s="231">
        <f t="shared" si="353"/>
        <v>1</v>
      </c>
      <c r="AE642" s="231">
        <f t="shared" si="354"/>
        <v>1</v>
      </c>
      <c r="AF642" s="231">
        <f t="shared" si="355"/>
        <v>1</v>
      </c>
      <c r="AG642" s="231">
        <f t="shared" si="356"/>
        <v>0</v>
      </c>
      <c r="AH642" s="231">
        <f t="shared" si="357"/>
        <v>0</v>
      </c>
      <c r="AI642" s="231">
        <f t="shared" si="358"/>
        <v>1</v>
      </c>
      <c r="AJ642" s="231">
        <f t="shared" si="359"/>
        <v>0</v>
      </c>
      <c r="AK642" s="231">
        <f t="shared" si="360"/>
        <v>0</v>
      </c>
      <c r="AL642" s="231">
        <f t="shared" si="361"/>
        <v>1</v>
      </c>
      <c r="AM642" s="231">
        <f t="shared" si="362"/>
        <v>6</v>
      </c>
    </row>
    <row r="643" spans="4:39" x14ac:dyDescent="0.25">
      <c r="D643" s="231">
        <v>485</v>
      </c>
      <c r="E643" s="231" t="s">
        <v>72</v>
      </c>
      <c r="F643" s="231" t="s">
        <v>73</v>
      </c>
      <c r="G643" s="231" t="s">
        <v>74</v>
      </c>
      <c r="H643" s="231" t="s">
        <v>69</v>
      </c>
      <c r="I643" s="231" t="s">
        <v>76</v>
      </c>
      <c r="J643" s="231" t="s">
        <v>75</v>
      </c>
      <c r="M643" s="231" t="s">
        <v>515</v>
      </c>
      <c r="O643" s="232" t="s">
        <v>517</v>
      </c>
      <c r="R643" s="231" t="s">
        <v>573</v>
      </c>
      <c r="S643" s="231" t="s">
        <v>564</v>
      </c>
      <c r="T643" s="231" t="s">
        <v>574</v>
      </c>
      <c r="U643" s="231" t="s">
        <v>572</v>
      </c>
      <c r="V643" s="231" t="s">
        <v>575</v>
      </c>
      <c r="W643" s="231" t="s">
        <v>567</v>
      </c>
      <c r="X643" s="231" t="s">
        <v>566</v>
      </c>
      <c r="Y643" s="231" t="s">
        <v>571</v>
      </c>
      <c r="AA643" s="231">
        <f t="shared" si="350"/>
        <v>0</v>
      </c>
      <c r="AB643" s="231">
        <f t="shared" si="351"/>
        <v>0</v>
      </c>
      <c r="AC643" s="231">
        <f t="shared" si="352"/>
        <v>1</v>
      </c>
      <c r="AD643" s="231">
        <f t="shared" si="353"/>
        <v>1</v>
      </c>
      <c r="AE643" s="231">
        <f t="shared" si="354"/>
        <v>1</v>
      </c>
      <c r="AF643" s="231">
        <f t="shared" si="355"/>
        <v>1</v>
      </c>
      <c r="AG643" s="231">
        <f t="shared" si="356"/>
        <v>0</v>
      </c>
      <c r="AH643" s="231">
        <f t="shared" si="357"/>
        <v>0</v>
      </c>
      <c r="AI643" s="231">
        <f t="shared" si="358"/>
        <v>1</v>
      </c>
      <c r="AJ643" s="231">
        <f t="shared" si="359"/>
        <v>0</v>
      </c>
      <c r="AK643" s="231">
        <f t="shared" si="360"/>
        <v>0</v>
      </c>
      <c r="AL643" s="231">
        <f t="shared" si="361"/>
        <v>0</v>
      </c>
      <c r="AM643" s="231">
        <f t="shared" si="362"/>
        <v>5</v>
      </c>
    </row>
    <row r="644" spans="4:39" x14ac:dyDescent="0.25">
      <c r="D644" s="231">
        <v>486</v>
      </c>
      <c r="E644" s="231" t="s">
        <v>72</v>
      </c>
      <c r="F644" s="231" t="s">
        <v>73</v>
      </c>
      <c r="G644" s="231" t="s">
        <v>74</v>
      </c>
      <c r="H644" s="231" t="s">
        <v>69</v>
      </c>
      <c r="I644" s="231" t="s">
        <v>76</v>
      </c>
      <c r="J644" s="231" t="s">
        <v>75</v>
      </c>
      <c r="M644" s="231" t="s">
        <v>515</v>
      </c>
      <c r="N644" s="231" t="s">
        <v>516</v>
      </c>
      <c r="R644" s="231" t="s">
        <v>573</v>
      </c>
      <c r="S644" s="231" t="s">
        <v>565</v>
      </c>
      <c r="T644" s="231" t="s">
        <v>574</v>
      </c>
      <c r="U644" s="231" t="s">
        <v>572</v>
      </c>
      <c r="V644" s="231" t="s">
        <v>575</v>
      </c>
      <c r="W644" s="231" t="s">
        <v>567</v>
      </c>
      <c r="X644" s="231" t="s">
        <v>564</v>
      </c>
      <c r="Y644" s="231" t="s">
        <v>566</v>
      </c>
      <c r="AA644" s="231">
        <f t="shared" si="350"/>
        <v>0</v>
      </c>
      <c r="AB644" s="231">
        <f t="shared" si="351"/>
        <v>0</v>
      </c>
      <c r="AC644" s="231">
        <f t="shared" si="352"/>
        <v>1</v>
      </c>
      <c r="AD644" s="231">
        <f t="shared" si="353"/>
        <v>1</v>
      </c>
      <c r="AE644" s="231">
        <f t="shared" si="354"/>
        <v>1</v>
      </c>
      <c r="AF644" s="231">
        <f t="shared" si="355"/>
        <v>1</v>
      </c>
      <c r="AG644" s="231">
        <f t="shared" si="356"/>
        <v>0</v>
      </c>
      <c r="AH644" s="231">
        <f t="shared" si="357"/>
        <v>0</v>
      </c>
      <c r="AI644" s="231">
        <f t="shared" si="358"/>
        <v>1</v>
      </c>
      <c r="AJ644" s="231">
        <f t="shared" si="359"/>
        <v>1</v>
      </c>
      <c r="AK644" s="231">
        <f t="shared" si="360"/>
        <v>0</v>
      </c>
      <c r="AL644" s="231">
        <f t="shared" si="361"/>
        <v>0</v>
      </c>
      <c r="AM644" s="231">
        <f t="shared" si="362"/>
        <v>6</v>
      </c>
    </row>
    <row r="645" spans="4:39" x14ac:dyDescent="0.25">
      <c r="D645" s="231">
        <v>487</v>
      </c>
      <c r="E645" s="231" t="s">
        <v>72</v>
      </c>
      <c r="F645" s="231" t="s">
        <v>73</v>
      </c>
      <c r="G645" s="231" t="s">
        <v>74</v>
      </c>
      <c r="H645" s="231" t="s">
        <v>69</v>
      </c>
      <c r="I645" s="231" t="s">
        <v>76</v>
      </c>
      <c r="J645" s="231" t="s">
        <v>75</v>
      </c>
      <c r="L645" s="231" t="s">
        <v>78</v>
      </c>
      <c r="P645" s="231" t="s">
        <v>70</v>
      </c>
      <c r="R645" s="231" t="s">
        <v>568</v>
      </c>
      <c r="S645" s="231" t="s">
        <v>567</v>
      </c>
      <c r="T645" s="231" t="s">
        <v>574</v>
      </c>
      <c r="U645" s="231" t="s">
        <v>573</v>
      </c>
      <c r="V645" s="231" t="s">
        <v>575</v>
      </c>
      <c r="W645" s="231" t="s">
        <v>572</v>
      </c>
      <c r="X645" s="231" t="s">
        <v>570</v>
      </c>
      <c r="Y645" s="231" t="s">
        <v>564</v>
      </c>
      <c r="AA645" s="231">
        <f t="shared" si="350"/>
        <v>0</v>
      </c>
      <c r="AB645" s="231">
        <f t="shared" si="351"/>
        <v>0</v>
      </c>
      <c r="AC645" s="231">
        <f t="shared" si="352"/>
        <v>1</v>
      </c>
      <c r="AD645" s="231">
        <f t="shared" si="353"/>
        <v>1</v>
      </c>
      <c r="AE645" s="231">
        <f t="shared" si="354"/>
        <v>1</v>
      </c>
      <c r="AF645" s="231">
        <f t="shared" si="355"/>
        <v>1</v>
      </c>
      <c r="AG645" s="231">
        <f t="shared" si="356"/>
        <v>0</v>
      </c>
      <c r="AH645" s="231">
        <f t="shared" si="357"/>
        <v>0</v>
      </c>
      <c r="AI645" s="231">
        <f t="shared" si="358"/>
        <v>0</v>
      </c>
      <c r="AJ645" s="231">
        <f t="shared" si="359"/>
        <v>0</v>
      </c>
      <c r="AK645" s="231">
        <f t="shared" si="360"/>
        <v>0</v>
      </c>
      <c r="AL645" s="231">
        <f t="shared" si="361"/>
        <v>1</v>
      </c>
      <c r="AM645" s="231">
        <f t="shared" si="362"/>
        <v>5</v>
      </c>
    </row>
    <row r="646" spans="4:39" x14ac:dyDescent="0.25">
      <c r="D646" s="231">
        <v>488</v>
      </c>
      <c r="E646" s="231" t="s">
        <v>72</v>
      </c>
      <c r="F646" s="231" t="s">
        <v>73</v>
      </c>
      <c r="G646" s="231" t="s">
        <v>74</v>
      </c>
      <c r="H646" s="231" t="s">
        <v>69</v>
      </c>
      <c r="I646" s="231" t="s">
        <v>76</v>
      </c>
      <c r="J646" s="231" t="s">
        <v>75</v>
      </c>
      <c r="L646" s="231" t="s">
        <v>78</v>
      </c>
      <c r="O646" s="232" t="s">
        <v>517</v>
      </c>
      <c r="R646" s="231" t="s">
        <v>568</v>
      </c>
      <c r="S646" s="231" t="s">
        <v>564</v>
      </c>
      <c r="T646" s="231" t="s">
        <v>574</v>
      </c>
      <c r="U646" s="231" t="s">
        <v>573</v>
      </c>
      <c r="V646" s="231" t="s">
        <v>575</v>
      </c>
      <c r="W646" s="231" t="s">
        <v>567</v>
      </c>
      <c r="X646" s="231" t="s">
        <v>572</v>
      </c>
      <c r="Y646" s="231" t="s">
        <v>571</v>
      </c>
      <c r="AA646" s="231">
        <f t="shared" si="350"/>
        <v>0</v>
      </c>
      <c r="AB646" s="231">
        <f t="shared" si="351"/>
        <v>0</v>
      </c>
      <c r="AC646" s="231">
        <f t="shared" si="352"/>
        <v>1</v>
      </c>
      <c r="AD646" s="231">
        <f t="shared" si="353"/>
        <v>1</v>
      </c>
      <c r="AE646" s="231">
        <f t="shared" si="354"/>
        <v>1</v>
      </c>
      <c r="AF646" s="231">
        <f t="shared" si="355"/>
        <v>1</v>
      </c>
      <c r="AG646" s="231">
        <f t="shared" si="356"/>
        <v>0</v>
      </c>
      <c r="AH646" s="231">
        <f t="shared" si="357"/>
        <v>0</v>
      </c>
      <c r="AI646" s="231">
        <f t="shared" si="358"/>
        <v>0</v>
      </c>
      <c r="AJ646" s="231">
        <f t="shared" si="359"/>
        <v>0</v>
      </c>
      <c r="AK646" s="231">
        <f t="shared" si="360"/>
        <v>0</v>
      </c>
      <c r="AL646" s="231">
        <f t="shared" si="361"/>
        <v>0</v>
      </c>
      <c r="AM646" s="231">
        <f t="shared" si="362"/>
        <v>4</v>
      </c>
    </row>
    <row r="647" spans="4:39" x14ac:dyDescent="0.25">
      <c r="D647" s="231">
        <v>489</v>
      </c>
      <c r="E647" s="231" t="s">
        <v>72</v>
      </c>
      <c r="F647" s="231" t="s">
        <v>73</v>
      </c>
      <c r="G647" s="231" t="s">
        <v>74</v>
      </c>
      <c r="H647" s="231" t="s">
        <v>69</v>
      </c>
      <c r="I647" s="231" t="s">
        <v>76</v>
      </c>
      <c r="J647" s="231" t="s">
        <v>75</v>
      </c>
      <c r="L647" s="231" t="s">
        <v>78</v>
      </c>
      <c r="N647" s="231" t="s">
        <v>516</v>
      </c>
      <c r="R647" s="231" t="s">
        <v>568</v>
      </c>
      <c r="S647" s="231" t="s">
        <v>565</v>
      </c>
      <c r="T647" s="231" t="s">
        <v>574</v>
      </c>
      <c r="U647" s="231" t="s">
        <v>573</v>
      </c>
      <c r="V647" s="231" t="s">
        <v>575</v>
      </c>
      <c r="W647" s="231" t="s">
        <v>567</v>
      </c>
      <c r="X647" s="231" t="s">
        <v>572</v>
      </c>
      <c r="Y647" s="231" t="s">
        <v>564</v>
      </c>
      <c r="AA647" s="231">
        <f t="shared" si="350"/>
        <v>0</v>
      </c>
      <c r="AB647" s="231">
        <f t="shared" si="351"/>
        <v>0</v>
      </c>
      <c r="AC647" s="231">
        <f t="shared" si="352"/>
        <v>1</v>
      </c>
      <c r="AD647" s="231">
        <f t="shared" si="353"/>
        <v>1</v>
      </c>
      <c r="AE647" s="231">
        <f t="shared" si="354"/>
        <v>1</v>
      </c>
      <c r="AF647" s="231">
        <f t="shared" si="355"/>
        <v>1</v>
      </c>
      <c r="AG647" s="231">
        <f t="shared" si="356"/>
        <v>0</v>
      </c>
      <c r="AH647" s="231">
        <f t="shared" si="357"/>
        <v>0</v>
      </c>
      <c r="AI647" s="231">
        <f t="shared" si="358"/>
        <v>0</v>
      </c>
      <c r="AJ647" s="231">
        <f t="shared" si="359"/>
        <v>1</v>
      </c>
      <c r="AK647" s="231">
        <f t="shared" si="360"/>
        <v>0</v>
      </c>
      <c r="AL647" s="231">
        <f t="shared" si="361"/>
        <v>0</v>
      </c>
      <c r="AM647" s="231">
        <f t="shared" si="362"/>
        <v>5</v>
      </c>
    </row>
    <row r="648" spans="4:39" x14ac:dyDescent="0.25">
      <c r="D648" s="231">
        <v>490</v>
      </c>
      <c r="E648" s="231" t="s">
        <v>72</v>
      </c>
      <c r="F648" s="231" t="s">
        <v>73</v>
      </c>
      <c r="G648" s="231" t="s">
        <v>74</v>
      </c>
      <c r="H648" s="231" t="s">
        <v>69</v>
      </c>
      <c r="I648" s="231" t="s">
        <v>76</v>
      </c>
      <c r="J648" s="231" t="s">
        <v>75</v>
      </c>
      <c r="L648" s="231" t="s">
        <v>78</v>
      </c>
      <c r="M648" s="231" t="s">
        <v>515</v>
      </c>
      <c r="R648" s="231" t="s">
        <v>568</v>
      </c>
      <c r="S648" s="231" t="s">
        <v>564</v>
      </c>
      <c r="T648" s="231" t="s">
        <v>574</v>
      </c>
      <c r="U648" s="231" t="s">
        <v>573</v>
      </c>
      <c r="V648" s="231" t="s">
        <v>575</v>
      </c>
      <c r="W648" s="231" t="s">
        <v>567</v>
      </c>
      <c r="X648" s="231" t="s">
        <v>572</v>
      </c>
      <c r="Y648" s="231" t="s">
        <v>566</v>
      </c>
      <c r="AA648" s="231">
        <f t="shared" si="350"/>
        <v>0</v>
      </c>
      <c r="AB648" s="231">
        <f t="shared" si="351"/>
        <v>0</v>
      </c>
      <c r="AC648" s="231">
        <f t="shared" si="352"/>
        <v>1</v>
      </c>
      <c r="AD648" s="231">
        <f t="shared" si="353"/>
        <v>1</v>
      </c>
      <c r="AE648" s="231">
        <f t="shared" si="354"/>
        <v>1</v>
      </c>
      <c r="AF648" s="231">
        <f t="shared" si="355"/>
        <v>1</v>
      </c>
      <c r="AG648" s="231">
        <f t="shared" si="356"/>
        <v>0</v>
      </c>
      <c r="AH648" s="231">
        <f t="shared" si="357"/>
        <v>0</v>
      </c>
      <c r="AI648" s="231">
        <f t="shared" si="358"/>
        <v>1</v>
      </c>
      <c r="AJ648" s="231">
        <f t="shared" si="359"/>
        <v>0</v>
      </c>
      <c r="AK648" s="231">
        <f t="shared" si="360"/>
        <v>0</v>
      </c>
      <c r="AL648" s="231">
        <f t="shared" si="361"/>
        <v>0</v>
      </c>
      <c r="AM648" s="231">
        <f t="shared" si="362"/>
        <v>5</v>
      </c>
    </row>
    <row r="649" spans="4:39" x14ac:dyDescent="0.25">
      <c r="D649" s="231">
        <v>491</v>
      </c>
      <c r="E649" s="231" t="s">
        <v>72</v>
      </c>
      <c r="F649" s="231" t="s">
        <v>73</v>
      </c>
      <c r="G649" s="231" t="s">
        <v>74</v>
      </c>
      <c r="H649" s="231" t="s">
        <v>69</v>
      </c>
      <c r="I649" s="231" t="s">
        <v>76</v>
      </c>
      <c r="J649" s="231" t="s">
        <v>75</v>
      </c>
      <c r="K649" s="231" t="s">
        <v>77</v>
      </c>
      <c r="P649" s="231" t="s">
        <v>70</v>
      </c>
      <c r="R649" s="231" t="s">
        <v>573</v>
      </c>
      <c r="S649" s="231" t="s">
        <v>569</v>
      </c>
      <c r="T649" s="231" t="s">
        <v>574</v>
      </c>
      <c r="U649" s="231" t="s">
        <v>572</v>
      </c>
      <c r="V649" s="231" t="s">
        <v>575</v>
      </c>
      <c r="W649" s="231" t="s">
        <v>567</v>
      </c>
      <c r="X649" s="231" t="s">
        <v>570</v>
      </c>
      <c r="Y649" s="231" t="s">
        <v>564</v>
      </c>
      <c r="AA649" s="231">
        <f t="shared" si="350"/>
        <v>0</v>
      </c>
      <c r="AB649" s="231">
        <f t="shared" si="351"/>
        <v>0</v>
      </c>
      <c r="AC649" s="231">
        <f t="shared" si="352"/>
        <v>1</v>
      </c>
      <c r="AD649" s="231">
        <f t="shared" si="353"/>
        <v>1</v>
      </c>
      <c r="AE649" s="231">
        <f t="shared" si="354"/>
        <v>1</v>
      </c>
      <c r="AF649" s="231">
        <f t="shared" si="355"/>
        <v>1</v>
      </c>
      <c r="AG649" s="231">
        <f t="shared" si="356"/>
        <v>1</v>
      </c>
      <c r="AH649" s="231">
        <f t="shared" si="357"/>
        <v>0</v>
      </c>
      <c r="AI649" s="231">
        <f t="shared" si="358"/>
        <v>0</v>
      </c>
      <c r="AJ649" s="231">
        <f t="shared" si="359"/>
        <v>0</v>
      </c>
      <c r="AK649" s="231">
        <f t="shared" si="360"/>
        <v>0</v>
      </c>
      <c r="AL649" s="231">
        <f t="shared" si="361"/>
        <v>1</v>
      </c>
      <c r="AM649" s="231">
        <f t="shared" si="362"/>
        <v>6</v>
      </c>
    </row>
    <row r="650" spans="4:39" x14ac:dyDescent="0.25">
      <c r="D650" s="231">
        <v>492</v>
      </c>
      <c r="E650" s="231" t="s">
        <v>72</v>
      </c>
      <c r="F650" s="231" t="s">
        <v>73</v>
      </c>
      <c r="G650" s="231" t="s">
        <v>74</v>
      </c>
      <c r="H650" s="231" t="s">
        <v>69</v>
      </c>
      <c r="I650" s="231" t="s">
        <v>76</v>
      </c>
      <c r="J650" s="231" t="s">
        <v>75</v>
      </c>
      <c r="K650" s="231" t="s">
        <v>77</v>
      </c>
      <c r="O650" s="232" t="s">
        <v>517</v>
      </c>
      <c r="R650" s="231" t="s">
        <v>573</v>
      </c>
      <c r="S650" s="231" t="s">
        <v>569</v>
      </c>
      <c r="T650" s="231" t="s">
        <v>574</v>
      </c>
      <c r="U650" s="231" t="s">
        <v>572</v>
      </c>
      <c r="V650" s="231" t="s">
        <v>575</v>
      </c>
      <c r="W650" s="231" t="s">
        <v>567</v>
      </c>
      <c r="X650" s="231" t="s">
        <v>564</v>
      </c>
      <c r="Y650" s="231" t="s">
        <v>571</v>
      </c>
      <c r="AA650" s="231">
        <f t="shared" si="350"/>
        <v>0</v>
      </c>
      <c r="AB650" s="231">
        <f t="shared" si="351"/>
        <v>0</v>
      </c>
      <c r="AC650" s="231">
        <f t="shared" si="352"/>
        <v>1</v>
      </c>
      <c r="AD650" s="231">
        <f t="shared" si="353"/>
        <v>1</v>
      </c>
      <c r="AE650" s="231">
        <f t="shared" si="354"/>
        <v>1</v>
      </c>
      <c r="AF650" s="231">
        <f t="shared" si="355"/>
        <v>1</v>
      </c>
      <c r="AG650" s="231">
        <f t="shared" si="356"/>
        <v>1</v>
      </c>
      <c r="AH650" s="231">
        <f t="shared" si="357"/>
        <v>0</v>
      </c>
      <c r="AI650" s="231">
        <f t="shared" si="358"/>
        <v>0</v>
      </c>
      <c r="AJ650" s="231">
        <f t="shared" si="359"/>
        <v>0</v>
      </c>
      <c r="AK650" s="231">
        <f t="shared" si="360"/>
        <v>0</v>
      </c>
      <c r="AL650" s="231">
        <f t="shared" si="361"/>
        <v>0</v>
      </c>
      <c r="AM650" s="231">
        <f t="shared" si="362"/>
        <v>5</v>
      </c>
    </row>
    <row r="651" spans="4:39" x14ac:dyDescent="0.25">
      <c r="D651" s="231">
        <v>493</v>
      </c>
      <c r="E651" s="231" t="s">
        <v>72</v>
      </c>
      <c r="F651" s="231" t="s">
        <v>73</v>
      </c>
      <c r="G651" s="231" t="s">
        <v>74</v>
      </c>
      <c r="H651" s="231" t="s">
        <v>69</v>
      </c>
      <c r="I651" s="231" t="s">
        <v>76</v>
      </c>
      <c r="J651" s="231" t="s">
        <v>75</v>
      </c>
      <c r="K651" s="231" t="s">
        <v>77</v>
      </c>
      <c r="N651" s="231" t="s">
        <v>516</v>
      </c>
      <c r="R651" s="231" t="s">
        <v>573</v>
      </c>
      <c r="S651" s="231" t="s">
        <v>569</v>
      </c>
      <c r="T651" s="231" t="s">
        <v>574</v>
      </c>
      <c r="U651" s="231" t="s">
        <v>572</v>
      </c>
      <c r="V651" s="231" t="s">
        <v>575</v>
      </c>
      <c r="W651" s="231" t="s">
        <v>567</v>
      </c>
      <c r="X651" s="231" t="s">
        <v>564</v>
      </c>
      <c r="Y651" s="231" t="s">
        <v>565</v>
      </c>
      <c r="AA651" s="231">
        <f t="shared" si="350"/>
        <v>0</v>
      </c>
      <c r="AB651" s="231">
        <f t="shared" si="351"/>
        <v>0</v>
      </c>
      <c r="AC651" s="231">
        <f t="shared" si="352"/>
        <v>1</v>
      </c>
      <c r="AD651" s="231">
        <f t="shared" si="353"/>
        <v>1</v>
      </c>
      <c r="AE651" s="231">
        <f t="shared" si="354"/>
        <v>1</v>
      </c>
      <c r="AF651" s="231">
        <f t="shared" si="355"/>
        <v>1</v>
      </c>
      <c r="AG651" s="231">
        <f t="shared" si="356"/>
        <v>1</v>
      </c>
      <c r="AH651" s="231">
        <f t="shared" si="357"/>
        <v>0</v>
      </c>
      <c r="AI651" s="231">
        <f t="shared" si="358"/>
        <v>0</v>
      </c>
      <c r="AJ651" s="231">
        <f t="shared" si="359"/>
        <v>1</v>
      </c>
      <c r="AK651" s="231">
        <f t="shared" si="360"/>
        <v>0</v>
      </c>
      <c r="AL651" s="231">
        <f t="shared" si="361"/>
        <v>0</v>
      </c>
      <c r="AM651" s="231">
        <f t="shared" si="362"/>
        <v>6</v>
      </c>
    </row>
    <row r="652" spans="4:39" x14ac:dyDescent="0.25">
      <c r="D652" s="231">
        <v>494</v>
      </c>
      <c r="E652" s="231" t="s">
        <v>72</v>
      </c>
      <c r="F652" s="231" t="s">
        <v>73</v>
      </c>
      <c r="G652" s="231" t="s">
        <v>74</v>
      </c>
      <c r="H652" s="231" t="s">
        <v>69</v>
      </c>
      <c r="I652" s="231" t="s">
        <v>76</v>
      </c>
      <c r="J652" s="231" t="s">
        <v>75</v>
      </c>
      <c r="K652" s="231" t="s">
        <v>77</v>
      </c>
      <c r="M652" s="231" t="s">
        <v>515</v>
      </c>
      <c r="R652" s="231" t="s">
        <v>573</v>
      </c>
      <c r="S652" s="231" t="s">
        <v>569</v>
      </c>
      <c r="T652" s="231" t="s">
        <v>574</v>
      </c>
      <c r="U652" s="231" t="s">
        <v>572</v>
      </c>
      <c r="V652" s="231" t="s">
        <v>575</v>
      </c>
      <c r="W652" s="231" t="s">
        <v>567</v>
      </c>
      <c r="X652" s="231" t="s">
        <v>564</v>
      </c>
      <c r="Y652" s="231" t="s">
        <v>566</v>
      </c>
      <c r="AA652" s="231">
        <f t="shared" si="350"/>
        <v>0</v>
      </c>
      <c r="AB652" s="231">
        <f t="shared" si="351"/>
        <v>0</v>
      </c>
      <c r="AC652" s="231">
        <f t="shared" si="352"/>
        <v>1</v>
      </c>
      <c r="AD652" s="231">
        <f t="shared" si="353"/>
        <v>1</v>
      </c>
      <c r="AE652" s="231">
        <f t="shared" si="354"/>
        <v>1</v>
      </c>
      <c r="AF652" s="231">
        <f t="shared" si="355"/>
        <v>1</v>
      </c>
      <c r="AG652" s="231">
        <f t="shared" si="356"/>
        <v>1</v>
      </c>
      <c r="AH652" s="231">
        <f t="shared" si="357"/>
        <v>0</v>
      </c>
      <c r="AI652" s="231">
        <f t="shared" si="358"/>
        <v>1</v>
      </c>
      <c r="AJ652" s="231">
        <f t="shared" si="359"/>
        <v>0</v>
      </c>
      <c r="AK652" s="231">
        <f t="shared" si="360"/>
        <v>0</v>
      </c>
      <c r="AL652" s="231">
        <f t="shared" si="361"/>
        <v>0</v>
      </c>
      <c r="AM652" s="231">
        <f t="shared" si="362"/>
        <v>6</v>
      </c>
    </row>
    <row r="653" spans="4:39" x14ac:dyDescent="0.25">
      <c r="D653" s="231">
        <v>495</v>
      </c>
      <c r="E653" s="231" t="s">
        <v>72</v>
      </c>
      <c r="F653" s="231" t="s">
        <v>73</v>
      </c>
      <c r="G653" s="231" t="s">
        <v>74</v>
      </c>
      <c r="H653" s="231" t="s">
        <v>69</v>
      </c>
      <c r="I653" s="231" t="s">
        <v>76</v>
      </c>
      <c r="J653" s="231" t="s">
        <v>75</v>
      </c>
      <c r="K653" s="231" t="s">
        <v>77</v>
      </c>
      <c r="L653" s="231" t="s">
        <v>78</v>
      </c>
      <c r="R653" s="231" t="s">
        <v>568</v>
      </c>
      <c r="S653" s="231" t="s">
        <v>569</v>
      </c>
      <c r="T653" s="231" t="s">
        <v>574</v>
      </c>
      <c r="U653" s="231" t="s">
        <v>573</v>
      </c>
      <c r="V653" s="231" t="s">
        <v>575</v>
      </c>
      <c r="W653" s="231" t="s">
        <v>567</v>
      </c>
      <c r="X653" s="231" t="s">
        <v>572</v>
      </c>
      <c r="Y653" s="231" t="s">
        <v>564</v>
      </c>
      <c r="AA653" s="231">
        <f t="shared" si="350"/>
        <v>0</v>
      </c>
      <c r="AB653" s="231">
        <f t="shared" si="351"/>
        <v>0</v>
      </c>
      <c r="AC653" s="231">
        <f t="shared" si="352"/>
        <v>1</v>
      </c>
      <c r="AD653" s="231">
        <f t="shared" si="353"/>
        <v>1</v>
      </c>
      <c r="AE653" s="231">
        <f t="shared" si="354"/>
        <v>1</v>
      </c>
      <c r="AF653" s="231">
        <f t="shared" si="355"/>
        <v>1</v>
      </c>
      <c r="AG653" s="231">
        <f t="shared" si="356"/>
        <v>1</v>
      </c>
      <c r="AH653" s="231">
        <f t="shared" si="357"/>
        <v>0</v>
      </c>
      <c r="AI653" s="231">
        <f t="shared" si="358"/>
        <v>0</v>
      </c>
      <c r="AJ653" s="231">
        <f t="shared" si="359"/>
        <v>0</v>
      </c>
      <c r="AK653" s="231">
        <f t="shared" si="360"/>
        <v>0</v>
      </c>
      <c r="AL653" s="231">
        <f t="shared" si="361"/>
        <v>0</v>
      </c>
      <c r="AM653" s="231">
        <f t="shared" si="362"/>
        <v>5</v>
      </c>
    </row>
    <row r="655" spans="4:39" x14ac:dyDescent="0.25">
      <c r="R655" s="231" t="str">
        <f>INDEX(R$159:R$653,MATCH(8,$AM$159:$AM$653,0),0)</f>
        <v>3C</v>
      </c>
      <c r="S655" s="231" t="str">
        <f t="shared" ref="S655:Y655" si="363">INDEX(S$159:S$653,MATCH(8,$AM$159:$AM$653,0),0)</f>
        <v>3G</v>
      </c>
      <c r="T655" s="231" t="str">
        <f t="shared" si="363"/>
        <v>3E</v>
      </c>
      <c r="U655" s="231" t="str">
        <f t="shared" si="363"/>
        <v>3D</v>
      </c>
      <c r="V655" s="231" t="str">
        <f t="shared" si="363"/>
        <v>3J</v>
      </c>
      <c r="W655" s="231" t="str">
        <f t="shared" si="363"/>
        <v>3F</v>
      </c>
      <c r="X655" s="231" t="str">
        <f t="shared" si="363"/>
        <v>3L</v>
      </c>
      <c r="Y655" s="231" t="str">
        <f t="shared" si="363"/>
        <v>3I</v>
      </c>
    </row>
    <row r="657" spans="4:23" x14ac:dyDescent="0.25">
      <c r="D657" s="231" t="s">
        <v>593</v>
      </c>
      <c r="E657" s="231" t="s">
        <v>68</v>
      </c>
      <c r="F657" s="231" t="s">
        <v>69</v>
      </c>
      <c r="G657" s="231" t="s">
        <v>70</v>
      </c>
      <c r="H657" s="231" t="s">
        <v>437</v>
      </c>
      <c r="I657" s="231" t="s">
        <v>438</v>
      </c>
      <c r="J657" s="231" t="s">
        <v>454</v>
      </c>
      <c r="K657" s="231" t="s">
        <v>452</v>
      </c>
      <c r="L657" s="231" t="s">
        <v>451</v>
      </c>
      <c r="M657" s="231" t="s">
        <v>577</v>
      </c>
      <c r="N657" s="231" t="s">
        <v>578</v>
      </c>
      <c r="O657" s="232" t="s">
        <v>579</v>
      </c>
      <c r="P657" s="231" t="s">
        <v>580</v>
      </c>
      <c r="S657" s="231" t="s">
        <v>581</v>
      </c>
    </row>
    <row r="658" spans="4:23" x14ac:dyDescent="0.25">
      <c r="D658" s="237" t="str">
        <f>INDEX(C$4:C$7,MATCH(3,B$4:B$7,0),0)</f>
        <v>Czechia</v>
      </c>
      <c r="E658" s="231">
        <f>Matches!W7</f>
        <v>0</v>
      </c>
      <c r="F658" s="231">
        <f>Matches!X7</f>
        <v>0</v>
      </c>
      <c r="G658" s="231">
        <f>Matches!Y7</f>
        <v>0</v>
      </c>
      <c r="H658" s="231">
        <f>Matches!Z7</f>
        <v>0</v>
      </c>
      <c r="I658" s="231">
        <f>Matches!AA7</f>
        <v>0</v>
      </c>
      <c r="J658" s="231">
        <f>H658-I658</f>
        <v>0</v>
      </c>
      <c r="K658" s="231">
        <f>Matches!AB7</f>
        <v>0</v>
      </c>
      <c r="L658" s="231">
        <f>-INDEX(A$4:A$76,MATCH(D658,C$4:C$76,0),0)</f>
        <v>-143</v>
      </c>
      <c r="M658" s="231">
        <f>RANK(K658,K$658:K$669)</f>
        <v>1</v>
      </c>
      <c r="N658" s="231">
        <f>SUMPRODUCT((M$658:M$669=M658)*(J$658:J$669&gt;J658))</f>
        <v>0</v>
      </c>
      <c r="O658" s="232">
        <f>SUMPRODUCT((M$658:M$669=M658)*(J$658:J$669=J658)*(H$658:H$669&gt;H658))</f>
        <v>0</v>
      </c>
      <c r="P658" s="231">
        <f>SUMPRODUCT((M$658:M$669=M658)*(J$658:J$669=J658)*(H$658:H$669=H658)*(L$658:L$669&gt;L658))</f>
        <v>8</v>
      </c>
      <c r="Q658" s="231">
        <f>SUM(M658:P658)</f>
        <v>9</v>
      </c>
      <c r="R658" s="232" t="s">
        <v>72</v>
      </c>
      <c r="S658" s="231">
        <v>1</v>
      </c>
      <c r="T658" s="231" t="str">
        <f>INDEX(R$658:R$669,MATCH(S658,Q$658:Q$669,0),0)</f>
        <v>D</v>
      </c>
      <c r="U658" s="232" t="str">
        <f t="shared" ref="U658:U669" si="364">INDEX(D$658:D$669,MATCH(S658,Q$658:Q$669,0),0)</f>
        <v>Australia</v>
      </c>
      <c r="V658" s="231" t="str">
        <f>3&amp;T658</f>
        <v>3D</v>
      </c>
      <c r="W658" s="231" t="str">
        <f>INDEX(R$158:Y$158,0,MATCH($V658,R$655:Y$655,0))</f>
        <v>1E</v>
      </c>
    </row>
    <row r="659" spans="4:23" x14ac:dyDescent="0.25">
      <c r="D659" s="237" t="str">
        <f>INDEX(C$11:C$14,MATCH(3,B$11:B$14,0),0)</f>
        <v>Qatar</v>
      </c>
      <c r="E659" s="231">
        <f>Matches!W13</f>
        <v>0</v>
      </c>
      <c r="F659" s="231">
        <f>Matches!X13</f>
        <v>0</v>
      </c>
      <c r="G659" s="231">
        <f>Matches!Y13</f>
        <v>0</v>
      </c>
      <c r="H659" s="231">
        <f>Matches!Z13</f>
        <v>0</v>
      </c>
      <c r="I659" s="231">
        <f>Matches!AA13</f>
        <v>0</v>
      </c>
      <c r="J659" s="231">
        <f t="shared" ref="J659:J669" si="365">H659-I659</f>
        <v>0</v>
      </c>
      <c r="K659" s="231">
        <f>Matches!AB13</f>
        <v>0</v>
      </c>
      <c r="L659" s="231">
        <f t="shared" ref="L659:L669" si="366">-INDEX(A$4:A$76,MATCH(D659,C$4:C$76,0),0)</f>
        <v>-156</v>
      </c>
      <c r="M659" s="231">
        <f t="shared" ref="M659:M669" si="367">RANK(K659,K$658:K$669)</f>
        <v>1</v>
      </c>
      <c r="N659" s="231">
        <f t="shared" ref="N659:N669" si="368">SUMPRODUCT((M$658:M$669=M659)*(J$658:J$669&gt;J659))</f>
        <v>0</v>
      </c>
      <c r="O659" s="232">
        <f t="shared" ref="O659:O669" si="369">SUMPRODUCT((M$658:M$669=M659)*(J$658:J$669=J659)*(H$658:H$669&gt;H659))</f>
        <v>0</v>
      </c>
      <c r="P659" s="231">
        <f t="shared" ref="P659:P669" si="370">SUMPRODUCT((M$658:M$669=M659)*(J$658:J$669=J659)*(H$658:H$669=H659)*(L$658:L$669&gt;L659))</f>
        <v>10</v>
      </c>
      <c r="Q659" s="231">
        <f t="shared" ref="Q659:Q669" si="371">SUM(M659:P659)</f>
        <v>11</v>
      </c>
      <c r="R659" s="232" t="s">
        <v>73</v>
      </c>
      <c r="S659" s="231">
        <v>2</v>
      </c>
      <c r="T659" s="231" t="str">
        <f t="shared" ref="T659:T669" si="372">INDEX(R$658:R$669,MATCH(S659,Q$658:Q$669,0),0)</f>
        <v>J</v>
      </c>
      <c r="U659" s="232" t="str">
        <f t="shared" si="364"/>
        <v>Algeria</v>
      </c>
      <c r="V659" s="231" t="str">
        <f t="shared" ref="V659:V669" si="373">3&amp;T659</f>
        <v>3J</v>
      </c>
      <c r="W659" s="231" t="str">
        <f t="shared" ref="W659:W665" si="374">INDEX(R$158:Y$158,0,MATCH($V659,R$655:Y$655,0))</f>
        <v>1G</v>
      </c>
    </row>
    <row r="660" spans="4:23" x14ac:dyDescent="0.25">
      <c r="D660" s="237" t="str">
        <f>INDEX(C$18:C$21,MATCH(3,B$18:B$21,0),0)</f>
        <v>Scotland</v>
      </c>
      <c r="E660" s="231">
        <f>Matches!W19</f>
        <v>0</v>
      </c>
      <c r="F660" s="231">
        <f>Matches!X19</f>
        <v>0</v>
      </c>
      <c r="G660" s="231">
        <f>Matches!Y19</f>
        <v>0</v>
      </c>
      <c r="H660" s="231">
        <f>Matches!Z19</f>
        <v>0</v>
      </c>
      <c r="I660" s="231">
        <f>Matches!AA19</f>
        <v>0</v>
      </c>
      <c r="J660" s="231">
        <f t="shared" si="365"/>
        <v>0</v>
      </c>
      <c r="K660" s="231">
        <f>Matches!AB19</f>
        <v>0</v>
      </c>
      <c r="L660" s="231">
        <f t="shared" si="366"/>
        <v>-138</v>
      </c>
      <c r="M660" s="231">
        <f t="shared" si="367"/>
        <v>1</v>
      </c>
      <c r="N660" s="231">
        <f t="shared" si="368"/>
        <v>0</v>
      </c>
      <c r="O660" s="232">
        <f t="shared" si="369"/>
        <v>0</v>
      </c>
      <c r="P660" s="231">
        <f t="shared" si="370"/>
        <v>6</v>
      </c>
      <c r="Q660" s="231">
        <f t="shared" si="371"/>
        <v>7</v>
      </c>
      <c r="R660" s="232" t="s">
        <v>74</v>
      </c>
      <c r="S660" s="231">
        <v>3</v>
      </c>
      <c r="T660" s="231" t="str">
        <f t="shared" si="372"/>
        <v>G</v>
      </c>
      <c r="U660" s="232" t="str">
        <f t="shared" si="364"/>
        <v>Egypt</v>
      </c>
      <c r="V660" s="231" t="str">
        <f t="shared" si="373"/>
        <v>3G</v>
      </c>
      <c r="W660" s="231" t="str">
        <f t="shared" si="374"/>
        <v>1B</v>
      </c>
    </row>
    <row r="661" spans="4:23" x14ac:dyDescent="0.25">
      <c r="D661" s="237" t="str">
        <f>INDEX(C$25:C$28,MATCH(3,B$25:B$28,0),0)</f>
        <v>Australia</v>
      </c>
      <c r="E661" s="231">
        <f>Matches!W25</f>
        <v>0</v>
      </c>
      <c r="F661" s="231">
        <f>Matches!X25</f>
        <v>0</v>
      </c>
      <c r="G661" s="231">
        <f>Matches!Y25</f>
        <v>0</v>
      </c>
      <c r="H661" s="231">
        <f>Matches!Z25</f>
        <v>0</v>
      </c>
      <c r="I661" s="231">
        <f>Matches!AA25</f>
        <v>0</v>
      </c>
      <c r="J661" s="231">
        <f t="shared" si="365"/>
        <v>0</v>
      </c>
      <c r="K661" s="231">
        <f>Matches!AB25</f>
        <v>0</v>
      </c>
      <c r="L661" s="231">
        <f t="shared" si="366"/>
        <v>-127</v>
      </c>
      <c r="M661" s="231">
        <f t="shared" si="367"/>
        <v>1</v>
      </c>
      <c r="N661" s="231">
        <f t="shared" si="368"/>
        <v>0</v>
      </c>
      <c r="O661" s="232">
        <f t="shared" si="369"/>
        <v>0</v>
      </c>
      <c r="P661" s="231">
        <f t="shared" si="370"/>
        <v>0</v>
      </c>
      <c r="Q661" s="231">
        <f t="shared" si="371"/>
        <v>1</v>
      </c>
      <c r="R661" s="232" t="s">
        <v>69</v>
      </c>
      <c r="S661" s="231">
        <v>4</v>
      </c>
      <c r="T661" s="231" t="str">
        <f t="shared" si="372"/>
        <v>I</v>
      </c>
      <c r="U661" s="232" t="str">
        <f t="shared" si="364"/>
        <v>Norway</v>
      </c>
      <c r="V661" s="231" t="str">
        <f t="shared" si="373"/>
        <v>3I</v>
      </c>
      <c r="W661" s="231" t="str">
        <f t="shared" si="374"/>
        <v>1L</v>
      </c>
    </row>
    <row r="662" spans="4:23" x14ac:dyDescent="0.25">
      <c r="D662" s="237" t="str">
        <f>INDEX(C$31:C$34,MATCH(3,B$31:B$34,0),0)</f>
        <v>Cote D'Voire</v>
      </c>
      <c r="E662" s="231">
        <f>Matches!W31</f>
        <v>0</v>
      </c>
      <c r="F662" s="231">
        <f>Matches!X31</f>
        <v>0</v>
      </c>
      <c r="G662" s="231">
        <f>Matches!Y31</f>
        <v>0</v>
      </c>
      <c r="H662" s="231">
        <f>Matches!Z31</f>
        <v>0</v>
      </c>
      <c r="I662" s="231">
        <f>Matches!AA31</f>
        <v>0</v>
      </c>
      <c r="J662" s="231">
        <f t="shared" si="365"/>
        <v>0</v>
      </c>
      <c r="K662" s="231">
        <f>Matches!AB31</f>
        <v>0</v>
      </c>
      <c r="L662" s="231">
        <f t="shared" si="366"/>
        <v>-137</v>
      </c>
      <c r="M662" s="231">
        <f t="shared" si="367"/>
        <v>1</v>
      </c>
      <c r="N662" s="231">
        <f t="shared" si="368"/>
        <v>0</v>
      </c>
      <c r="O662" s="232">
        <f t="shared" si="369"/>
        <v>0</v>
      </c>
      <c r="P662" s="231">
        <f t="shared" si="370"/>
        <v>5</v>
      </c>
      <c r="Q662" s="231">
        <f t="shared" si="371"/>
        <v>6</v>
      </c>
      <c r="R662" s="232" t="s">
        <v>76</v>
      </c>
      <c r="S662" s="231">
        <f>IF(License!G12="© 2025 | journalSHEET.com",5,0)</f>
        <v>5</v>
      </c>
      <c r="T662" s="231" t="str">
        <f t="shared" si="372"/>
        <v>L</v>
      </c>
      <c r="U662" s="232" t="str">
        <f t="shared" si="364"/>
        <v>Panama</v>
      </c>
      <c r="V662" s="231" t="str">
        <f t="shared" si="373"/>
        <v>3L</v>
      </c>
      <c r="W662" s="231" t="str">
        <f t="shared" si="374"/>
        <v>1K</v>
      </c>
    </row>
    <row r="663" spans="4:23" x14ac:dyDescent="0.25">
      <c r="D663" s="237" t="str">
        <f>INDEX(C$37:C$40,MATCH(3,B$37:B$40,0),0)</f>
        <v>Sweden</v>
      </c>
      <c r="E663" s="231">
        <f>Matches!W37</f>
        <v>0</v>
      </c>
      <c r="F663" s="231">
        <f>Matches!X37</f>
        <v>0</v>
      </c>
      <c r="G663" s="231">
        <f>Matches!Y37</f>
        <v>0</v>
      </c>
      <c r="H663" s="231">
        <f>Matches!Z37</f>
        <v>0</v>
      </c>
      <c r="I663" s="231">
        <f>Matches!AA37</f>
        <v>0</v>
      </c>
      <c r="J663" s="231">
        <f t="shared" si="365"/>
        <v>0</v>
      </c>
      <c r="K663" s="231">
        <f>Matches!AB37</f>
        <v>0</v>
      </c>
      <c r="L663" s="231">
        <f t="shared" si="366"/>
        <v>-142</v>
      </c>
      <c r="M663" s="231">
        <f t="shared" si="367"/>
        <v>1</v>
      </c>
      <c r="N663" s="231">
        <f t="shared" si="368"/>
        <v>0</v>
      </c>
      <c r="O663" s="232">
        <f t="shared" si="369"/>
        <v>0</v>
      </c>
      <c r="P663" s="231">
        <f t="shared" si="370"/>
        <v>7</v>
      </c>
      <c r="Q663" s="231">
        <f t="shared" si="371"/>
        <v>8</v>
      </c>
      <c r="R663" s="232" t="s">
        <v>75</v>
      </c>
      <c r="S663" s="231">
        <v>6</v>
      </c>
      <c r="T663" s="231" t="str">
        <f t="shared" si="372"/>
        <v>E</v>
      </c>
      <c r="U663" s="232" t="str">
        <f t="shared" si="364"/>
        <v>Cote D'Voire</v>
      </c>
      <c r="V663" s="231" t="str">
        <f t="shared" si="373"/>
        <v>3E</v>
      </c>
      <c r="W663" s="231" t="str">
        <f t="shared" si="374"/>
        <v>1D</v>
      </c>
    </row>
    <row r="664" spans="4:23" x14ac:dyDescent="0.25">
      <c r="D664" s="237" t="str">
        <f>INDEX(C$43:C$46,MATCH(3,B$43:B$46,0),0)</f>
        <v>Egypt</v>
      </c>
      <c r="E664" s="231">
        <f>Matches!W43</f>
        <v>0</v>
      </c>
      <c r="F664" s="231">
        <f>Matches!X43</f>
        <v>0</v>
      </c>
      <c r="G664" s="231">
        <f>Matches!Y43</f>
        <v>0</v>
      </c>
      <c r="H664" s="231">
        <f>Matches!Z43</f>
        <v>0</v>
      </c>
      <c r="I664" s="231">
        <f>Matches!AA43</f>
        <v>0</v>
      </c>
      <c r="J664" s="231">
        <f t="shared" si="365"/>
        <v>0</v>
      </c>
      <c r="K664" s="231">
        <f>Matches!AB43</f>
        <v>0</v>
      </c>
      <c r="L664" s="231">
        <f t="shared" si="366"/>
        <v>-131</v>
      </c>
      <c r="M664" s="231">
        <f t="shared" si="367"/>
        <v>1</v>
      </c>
      <c r="N664" s="231">
        <f t="shared" si="368"/>
        <v>0</v>
      </c>
      <c r="O664" s="232">
        <f t="shared" si="369"/>
        <v>0</v>
      </c>
      <c r="P664" s="231">
        <f t="shared" si="370"/>
        <v>2</v>
      </c>
      <c r="Q664" s="231">
        <f t="shared" si="371"/>
        <v>3</v>
      </c>
      <c r="R664" s="232" t="s">
        <v>77</v>
      </c>
      <c r="S664" s="231">
        <v>7</v>
      </c>
      <c r="T664" s="231" t="str">
        <f t="shared" si="372"/>
        <v>C</v>
      </c>
      <c r="U664" s="232" t="str">
        <f t="shared" si="364"/>
        <v>Scotland</v>
      </c>
      <c r="V664" s="231" t="str">
        <f t="shared" si="373"/>
        <v>3C</v>
      </c>
      <c r="W664" s="231" t="str">
        <f t="shared" si="374"/>
        <v>1A</v>
      </c>
    </row>
    <row r="665" spans="4:23" x14ac:dyDescent="0.25">
      <c r="D665" s="237" t="str">
        <f>INDEX(C$49:C$52,MATCH(3,B$49:B$52,0),0)</f>
        <v>Saudi Arabia</v>
      </c>
      <c r="E665" s="231">
        <f>Matches!W49</f>
        <v>0</v>
      </c>
      <c r="F665" s="231">
        <f>Matches!X49</f>
        <v>0</v>
      </c>
      <c r="G665" s="231">
        <f>Matches!Y49</f>
        <v>0</v>
      </c>
      <c r="H665" s="231">
        <f>Matches!Z49</f>
        <v>0</v>
      </c>
      <c r="I665" s="231">
        <f>Matches!AA49</f>
        <v>0</v>
      </c>
      <c r="J665" s="231">
        <f t="shared" si="365"/>
        <v>0</v>
      </c>
      <c r="K665" s="231">
        <f>Matches!AB49</f>
        <v>0</v>
      </c>
      <c r="L665" s="231">
        <f t="shared" si="366"/>
        <v>-161</v>
      </c>
      <c r="M665" s="231">
        <f t="shared" si="367"/>
        <v>1</v>
      </c>
      <c r="N665" s="231">
        <f t="shared" si="368"/>
        <v>0</v>
      </c>
      <c r="O665" s="232">
        <f t="shared" si="369"/>
        <v>0</v>
      </c>
      <c r="P665" s="231">
        <f t="shared" si="370"/>
        <v>11</v>
      </c>
      <c r="Q665" s="231">
        <f t="shared" si="371"/>
        <v>12</v>
      </c>
      <c r="R665" s="232" t="s">
        <v>78</v>
      </c>
      <c r="S665" s="231">
        <v>8</v>
      </c>
      <c r="T665" s="231" t="str">
        <f t="shared" si="372"/>
        <v>F</v>
      </c>
      <c r="U665" s="232" t="str">
        <f t="shared" si="364"/>
        <v>Sweden</v>
      </c>
      <c r="V665" s="231" t="str">
        <f t="shared" si="373"/>
        <v>3F</v>
      </c>
      <c r="W665" s="231" t="str">
        <f t="shared" si="374"/>
        <v>1I</v>
      </c>
    </row>
    <row r="666" spans="4:23" x14ac:dyDescent="0.25">
      <c r="D666" s="237" t="str">
        <f>INDEX(C$55:C$58,MATCH(3,B$55:B$58,0),0)</f>
        <v>Norway</v>
      </c>
      <c r="E666" s="231">
        <f>Matches!W55</f>
        <v>0</v>
      </c>
      <c r="F666" s="231">
        <f>Matches!X55</f>
        <v>0</v>
      </c>
      <c r="G666" s="231">
        <f>Matches!Y55</f>
        <v>0</v>
      </c>
      <c r="H666" s="231">
        <f>Matches!Z55</f>
        <v>0</v>
      </c>
      <c r="I666" s="231">
        <f>Matches!AA55</f>
        <v>0</v>
      </c>
      <c r="J666" s="231">
        <f t="shared" si="365"/>
        <v>0</v>
      </c>
      <c r="K666" s="231">
        <f>Matches!AB55</f>
        <v>0</v>
      </c>
      <c r="L666" s="231">
        <f t="shared" si="366"/>
        <v>-132</v>
      </c>
      <c r="M666" s="231">
        <f t="shared" si="367"/>
        <v>1</v>
      </c>
      <c r="N666" s="231">
        <f t="shared" si="368"/>
        <v>0</v>
      </c>
      <c r="O666" s="232">
        <f t="shared" si="369"/>
        <v>0</v>
      </c>
      <c r="P666" s="231">
        <f t="shared" si="370"/>
        <v>3</v>
      </c>
      <c r="Q666" s="231">
        <f t="shared" si="371"/>
        <v>4</v>
      </c>
      <c r="R666" s="232" t="s">
        <v>515</v>
      </c>
      <c r="S666" s="231">
        <v>9</v>
      </c>
      <c r="T666" s="231" t="str">
        <f t="shared" si="372"/>
        <v>A</v>
      </c>
      <c r="U666" s="232" t="str">
        <f t="shared" si="364"/>
        <v>Czechia</v>
      </c>
      <c r="V666" s="231" t="str">
        <f t="shared" si="373"/>
        <v>3A</v>
      </c>
    </row>
    <row r="667" spans="4:23" x14ac:dyDescent="0.25">
      <c r="D667" s="237" t="str">
        <f>INDEX(C$61:C$64,MATCH(3,B$61:B$64,0),0)</f>
        <v>Algeria</v>
      </c>
      <c r="E667" s="231">
        <f>Matches!W61</f>
        <v>0</v>
      </c>
      <c r="F667" s="231">
        <f>Matches!X61</f>
        <v>0</v>
      </c>
      <c r="G667" s="231">
        <f>Matches!Y61</f>
        <v>0</v>
      </c>
      <c r="H667" s="231">
        <f>Matches!Z61</f>
        <v>0</v>
      </c>
      <c r="I667" s="231">
        <f>Matches!AA61</f>
        <v>0</v>
      </c>
      <c r="J667" s="231">
        <f t="shared" si="365"/>
        <v>0</v>
      </c>
      <c r="K667" s="231">
        <f>Matches!AB61</f>
        <v>0</v>
      </c>
      <c r="L667" s="231">
        <f t="shared" si="366"/>
        <v>-128</v>
      </c>
      <c r="M667" s="231">
        <f t="shared" si="367"/>
        <v>1</v>
      </c>
      <c r="N667" s="231">
        <f t="shared" si="368"/>
        <v>0</v>
      </c>
      <c r="O667" s="232">
        <f t="shared" si="369"/>
        <v>0</v>
      </c>
      <c r="P667" s="231">
        <f t="shared" si="370"/>
        <v>1</v>
      </c>
      <c r="Q667" s="231">
        <f t="shared" si="371"/>
        <v>2</v>
      </c>
      <c r="R667" s="232" t="s">
        <v>516</v>
      </c>
      <c r="S667" s="231">
        <v>10</v>
      </c>
      <c r="T667" s="231" t="str">
        <f t="shared" si="372"/>
        <v>K</v>
      </c>
      <c r="U667" s="232" t="str">
        <f t="shared" si="364"/>
        <v>DR Congo</v>
      </c>
      <c r="V667" s="231" t="str">
        <f t="shared" si="373"/>
        <v>3K</v>
      </c>
    </row>
    <row r="668" spans="4:23" x14ac:dyDescent="0.25">
      <c r="D668" s="237" t="str">
        <f>INDEX(C$67:C$70,MATCH(3,B$67:B$70,0),0)</f>
        <v>DR Congo</v>
      </c>
      <c r="E668" s="231">
        <f>Matches!W67</f>
        <v>0</v>
      </c>
      <c r="F668" s="231">
        <f>Matches!X67</f>
        <v>0</v>
      </c>
      <c r="G668" s="231">
        <f>Matches!Y67</f>
        <v>0</v>
      </c>
      <c r="H668" s="231">
        <f>Matches!Z67</f>
        <v>0</v>
      </c>
      <c r="I668" s="231">
        <f>Matches!AA67</f>
        <v>0</v>
      </c>
      <c r="J668" s="231">
        <f t="shared" si="365"/>
        <v>0</v>
      </c>
      <c r="K668" s="231">
        <f>Matches!AB67</f>
        <v>0</v>
      </c>
      <c r="L668" s="231">
        <f t="shared" si="366"/>
        <v>-148</v>
      </c>
      <c r="M668" s="231">
        <f t="shared" si="367"/>
        <v>1</v>
      </c>
      <c r="N668" s="231">
        <f t="shared" si="368"/>
        <v>0</v>
      </c>
      <c r="O668" s="232">
        <f t="shared" si="369"/>
        <v>0</v>
      </c>
      <c r="P668" s="231">
        <f t="shared" si="370"/>
        <v>9</v>
      </c>
      <c r="Q668" s="231">
        <f t="shared" si="371"/>
        <v>10</v>
      </c>
      <c r="R668" s="232" t="s">
        <v>517</v>
      </c>
      <c r="S668" s="231">
        <v>11</v>
      </c>
      <c r="T668" s="231" t="str">
        <f t="shared" si="372"/>
        <v>B</v>
      </c>
      <c r="U668" s="232" t="str">
        <f t="shared" si="364"/>
        <v>Qatar</v>
      </c>
      <c r="V668" s="231" t="str">
        <f t="shared" si="373"/>
        <v>3B</v>
      </c>
    </row>
    <row r="669" spans="4:23" x14ac:dyDescent="0.25">
      <c r="D669" s="237" t="str">
        <f>INDEX(C$73:C$76,MATCH(3,B$73:B$76,0),0)</f>
        <v>Panama</v>
      </c>
      <c r="E669" s="231">
        <f>Matches!W73</f>
        <v>0</v>
      </c>
      <c r="F669" s="231">
        <f>Matches!X73</f>
        <v>0</v>
      </c>
      <c r="G669" s="231">
        <f>Matches!Y73</f>
        <v>0</v>
      </c>
      <c r="H669" s="231">
        <f>Matches!Z73</f>
        <v>0</v>
      </c>
      <c r="I669" s="231">
        <f>Matches!AA73</f>
        <v>0</v>
      </c>
      <c r="J669" s="231">
        <f t="shared" si="365"/>
        <v>0</v>
      </c>
      <c r="K669" s="231">
        <f>Matches!AB73</f>
        <v>0</v>
      </c>
      <c r="L669" s="231">
        <f t="shared" si="366"/>
        <v>-133</v>
      </c>
      <c r="M669" s="231">
        <f t="shared" si="367"/>
        <v>1</v>
      </c>
      <c r="N669" s="231">
        <f t="shared" si="368"/>
        <v>0</v>
      </c>
      <c r="O669" s="232">
        <f t="shared" si="369"/>
        <v>0</v>
      </c>
      <c r="P669" s="231">
        <f t="shared" si="370"/>
        <v>4</v>
      </c>
      <c r="Q669" s="231">
        <f t="shared" si="371"/>
        <v>5</v>
      </c>
      <c r="R669" s="232" t="s">
        <v>70</v>
      </c>
      <c r="S669" s="231">
        <v>12</v>
      </c>
      <c r="T669" s="231" t="str">
        <f t="shared" si="372"/>
        <v>H</v>
      </c>
      <c r="U669" s="232" t="str">
        <f t="shared" si="364"/>
        <v>Saudi Arabia</v>
      </c>
      <c r="V669" s="231" t="str">
        <f t="shared" si="373"/>
        <v>3H</v>
      </c>
    </row>
    <row r="671" spans="4:23" x14ac:dyDescent="0.25">
      <c r="O671" s="232" t="s">
        <v>582</v>
      </c>
    </row>
    <row r="673" spans="3:5" x14ac:dyDescent="0.25">
      <c r="C673" s="231" t="s">
        <v>583</v>
      </c>
      <c r="D673" s="237" t="str">
        <f>INDEX(C$4:C$7,MATCH(1,B$4:B$7,0),0)</f>
        <v>Mexico</v>
      </c>
      <c r="E673" s="231" t="str">
        <f>INDEX(U$658:U$665,MATCH(C673,W$658:W$665,0),0)</f>
        <v>Scotland</v>
      </c>
    </row>
    <row r="674" spans="3:5" x14ac:dyDescent="0.25">
      <c r="C674" s="231" t="s">
        <v>584</v>
      </c>
      <c r="D674" s="237" t="str">
        <f>INDEX(C$11:C$14,MATCH(1,B$11:B$14,0),0)</f>
        <v>Switzerland</v>
      </c>
      <c r="E674" s="231" t="str">
        <f t="shared" ref="E674:E684" si="375">INDEX(U$658:U$665,MATCH(C674,W$658:W$665,0),0)</f>
        <v>Egypt</v>
      </c>
    </row>
    <row r="675" spans="3:5" x14ac:dyDescent="0.25">
      <c r="C675" s="231"/>
      <c r="D675" s="237"/>
    </row>
    <row r="676" spans="3:5" x14ac:dyDescent="0.25">
      <c r="C676" s="231" t="s">
        <v>585</v>
      </c>
      <c r="D676" s="237" t="str">
        <f>INDEX(C$25:C$28,MATCH(1,B$25:B$28,0),0)</f>
        <v>USA</v>
      </c>
      <c r="E676" s="231" t="str">
        <f t="shared" si="375"/>
        <v>Cote D'Voire</v>
      </c>
    </row>
    <row r="677" spans="3:5" x14ac:dyDescent="0.25">
      <c r="C677" s="231" t="s">
        <v>586</v>
      </c>
      <c r="D677" s="237" t="str">
        <f>INDEX(C$31:C$34,MATCH(1,B$31:B$34,0),0)</f>
        <v>Germany</v>
      </c>
      <c r="E677" s="231" t="str">
        <f t="shared" si="375"/>
        <v>Australia</v>
      </c>
    </row>
    <row r="678" spans="3:5" x14ac:dyDescent="0.25">
      <c r="C678" s="231"/>
      <c r="D678" s="237"/>
    </row>
    <row r="679" spans="3:5" x14ac:dyDescent="0.25">
      <c r="C679" s="231" t="s">
        <v>587</v>
      </c>
      <c r="D679" s="237" t="str">
        <f>INDEX(C$43:C$46,MATCH(1,B$43:B$46,0),0)</f>
        <v>Belgium</v>
      </c>
      <c r="E679" s="231" t="str">
        <f t="shared" si="375"/>
        <v>Algeria</v>
      </c>
    </row>
    <row r="680" spans="3:5" x14ac:dyDescent="0.25">
      <c r="C680" s="231"/>
      <c r="D680" s="237"/>
    </row>
    <row r="681" spans="3:5" x14ac:dyDescent="0.25">
      <c r="C681" s="231" t="s">
        <v>588</v>
      </c>
      <c r="D681" s="237" t="str">
        <f>INDEX(C$55:C$58,MATCH(1,B$55:B$58,0),0)</f>
        <v>France</v>
      </c>
      <c r="E681" s="231" t="str">
        <f t="shared" si="375"/>
        <v>Sweden</v>
      </c>
    </row>
    <row r="682" spans="3:5" x14ac:dyDescent="0.25">
      <c r="C682" s="231"/>
      <c r="D682" s="237"/>
    </row>
    <row r="683" spans="3:5" x14ac:dyDescent="0.25">
      <c r="C683" s="231" t="s">
        <v>589</v>
      </c>
      <c r="D683" s="237" t="str">
        <f>INDEX(C$67:C$70,MATCH(1,B$67:B$70,0),0)</f>
        <v>Portugal</v>
      </c>
      <c r="E683" s="231" t="str">
        <f t="shared" si="375"/>
        <v>Panama</v>
      </c>
    </row>
    <row r="684" spans="3:5" x14ac:dyDescent="0.25">
      <c r="C684" s="231" t="s">
        <v>590</v>
      </c>
      <c r="D684" s="237" t="str">
        <f>INDEX(C$73:C$76,MATCH(1,B$73:B$76,0),0)</f>
        <v>England</v>
      </c>
      <c r="E684" s="231" t="str">
        <f t="shared" si="375"/>
        <v>Norway</v>
      </c>
    </row>
  </sheetData>
  <sheetProtection algorithmName="SHA-512" hashValue="xCbsAspPKsDc2tlvEmIIjJkQs6JF2iPi/2rO8M6pwl9UscuBg0gvAq+xy/qKFTQXnkiZTYAjTJDOyhT237QuqQ==" saltValue="UkFx9FJ4coB2l1n7Z3DPmg==" spinCount="100000" sheet="1" objects="1" scenarios="1" selectLockedCells="1" selectUnlockedCells="1"/>
  <phoneticPr fontId="29" type="noConversion"/>
  <conditionalFormatting sqref="K670:K1048576 K1:K657">
    <cfRule type="duplicateValues" dxfId="2" priority="2"/>
  </conditionalFormatting>
  <conditionalFormatting sqref="Q31">
    <cfRule type="expression" dxfId="1" priority="3">
      <formula>$C$52&lt;&gt;""</formula>
    </cfRule>
  </conditionalFormatting>
  <conditionalFormatting sqref="AM159:AM653">
    <cfRule type="cellIs" dxfId="0" priority="1" operator="equal">
      <formula>8</formula>
    </cfRule>
  </conditionalFormatting>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171"/>
  <sheetViews>
    <sheetView showGridLines="0" workbookViewId="0">
      <pane ySplit="1" topLeftCell="A2" activePane="bottomLeft" state="frozen"/>
      <selection pane="bottomLeft" activeCell="A5" sqref="A5"/>
    </sheetView>
  </sheetViews>
  <sheetFormatPr defaultColWidth="9.140625" defaultRowHeight="15" x14ac:dyDescent="0.25"/>
  <cols>
    <col min="1" max="1" width="4" style="19" bestFit="1" customWidth="1"/>
    <col min="2" max="9" width="20.7109375" style="19" customWidth="1"/>
    <col min="10" max="10" width="1.7109375" style="19" customWidth="1"/>
    <col min="11" max="11" width="1.7109375" style="23" customWidth="1"/>
    <col min="12" max="16384" width="9.140625" style="19"/>
  </cols>
  <sheetData>
    <row r="1" spans="1:20" x14ac:dyDescent="0.25">
      <c r="A1" s="24">
        <v>1</v>
      </c>
      <c r="B1" s="24" t="s">
        <v>398</v>
      </c>
      <c r="C1" s="24" t="s">
        <v>1</v>
      </c>
      <c r="D1" s="24" t="s">
        <v>109</v>
      </c>
      <c r="E1" s="24" t="s">
        <v>110</v>
      </c>
      <c r="F1" s="24" t="s">
        <v>111</v>
      </c>
      <c r="G1" s="24" t="s">
        <v>112</v>
      </c>
      <c r="H1" s="24" t="s">
        <v>113</v>
      </c>
      <c r="I1" s="24" t="str">
        <f>Setup!C6</f>
        <v>MY LANGUAGE</v>
      </c>
    </row>
    <row r="2" spans="1:20" x14ac:dyDescent="0.25">
      <c r="A2" s="24">
        <v>1</v>
      </c>
      <c r="B2" s="24">
        <v>2</v>
      </c>
      <c r="C2" s="24">
        <v>3</v>
      </c>
      <c r="D2" s="24">
        <v>4</v>
      </c>
      <c r="E2" s="24">
        <v>5</v>
      </c>
      <c r="F2" s="24">
        <v>6</v>
      </c>
      <c r="G2" s="24">
        <v>7</v>
      </c>
      <c r="H2" s="24">
        <v>8</v>
      </c>
      <c r="I2" s="24">
        <v>9</v>
      </c>
      <c r="K2" s="23" t="s">
        <v>401</v>
      </c>
      <c r="L2" s="19" t="s">
        <v>1166</v>
      </c>
    </row>
    <row r="3" spans="1:20" x14ac:dyDescent="0.25">
      <c r="A3" s="24">
        <v>2</v>
      </c>
      <c r="B3" s="25" t="str">
        <f>Setup!B8</f>
        <v>Mexico</v>
      </c>
      <c r="C3" s="25" t="s">
        <v>476</v>
      </c>
      <c r="D3" s="25" t="s">
        <v>969</v>
      </c>
      <c r="E3" s="25" t="s">
        <v>1001</v>
      </c>
      <c r="F3" s="25" t="s">
        <v>1030</v>
      </c>
      <c r="G3" s="25" t="s">
        <v>1054</v>
      </c>
      <c r="H3" s="25" t="s">
        <v>1054</v>
      </c>
      <c r="I3" s="25" t="str">
        <f>IF(Setup!C8&lt;&gt;"",Setup!C8,Setup!B8)</f>
        <v>Mexico</v>
      </c>
      <c r="K3" s="19"/>
    </row>
    <row r="4" spans="1:20" x14ac:dyDescent="0.25">
      <c r="A4" s="24">
        <v>3</v>
      </c>
      <c r="B4" s="25" t="str">
        <f>Setup!B9</f>
        <v>South Africa</v>
      </c>
      <c r="C4" s="25" t="s">
        <v>518</v>
      </c>
      <c r="D4" s="25" t="s">
        <v>970</v>
      </c>
      <c r="E4" s="25" t="s">
        <v>1002</v>
      </c>
      <c r="F4" s="25" t="s">
        <v>1031</v>
      </c>
      <c r="G4" s="25" t="s">
        <v>1055</v>
      </c>
      <c r="H4" s="25" t="s">
        <v>1090</v>
      </c>
      <c r="I4" s="25" t="str">
        <f>IF(Setup!C9&lt;&gt;"",Setup!C9,Setup!B9)</f>
        <v>South Africa</v>
      </c>
      <c r="K4" s="19"/>
    </row>
    <row r="5" spans="1:20" x14ac:dyDescent="0.25">
      <c r="A5" s="24">
        <v>4</v>
      </c>
      <c r="B5" s="25" t="str">
        <f>Setup!B10</f>
        <v>Korea Republic</v>
      </c>
      <c r="C5" s="25" t="s">
        <v>477</v>
      </c>
      <c r="D5" s="25" t="s">
        <v>971</v>
      </c>
      <c r="E5" s="25" t="s">
        <v>1003</v>
      </c>
      <c r="F5" s="25" t="s">
        <v>1032</v>
      </c>
      <c r="G5" s="25" t="s">
        <v>1056</v>
      </c>
      <c r="H5" s="25" t="s">
        <v>1091</v>
      </c>
      <c r="I5" s="25" t="str">
        <f>IF(Setup!C10&lt;&gt;"",Setup!C10,Setup!B10)</f>
        <v>Korea Republic</v>
      </c>
      <c r="K5" s="19"/>
    </row>
    <row r="6" spans="1:20" x14ac:dyDescent="0.25">
      <c r="A6" s="24">
        <v>5</v>
      </c>
      <c r="B6" s="25" t="str">
        <f>Setup!B11</f>
        <v>Czechia</v>
      </c>
      <c r="C6" s="25" t="s">
        <v>1138</v>
      </c>
      <c r="D6" s="25" t="s">
        <v>1142</v>
      </c>
      <c r="E6" s="25" t="s">
        <v>1143</v>
      </c>
      <c r="F6" s="25" t="s">
        <v>1144</v>
      </c>
      <c r="G6" s="25" t="s">
        <v>1145</v>
      </c>
      <c r="H6" s="25" t="s">
        <v>1146</v>
      </c>
      <c r="I6" s="25" t="str">
        <f>IF(Setup!C11&lt;&gt;"",Setup!C11,Setup!B11)</f>
        <v>Czechia</v>
      </c>
      <c r="K6" s="19"/>
    </row>
    <row r="7" spans="1:20" x14ac:dyDescent="0.25">
      <c r="A7" s="24">
        <v>6</v>
      </c>
      <c r="B7" s="25" t="str">
        <f>Setup!B12</f>
        <v>Canada</v>
      </c>
      <c r="C7" s="25" t="s">
        <v>478</v>
      </c>
      <c r="D7" s="25" t="s">
        <v>478</v>
      </c>
      <c r="E7" s="25" t="s">
        <v>1004</v>
      </c>
      <c r="F7" s="25" t="s">
        <v>478</v>
      </c>
      <c r="G7" s="25" t="s">
        <v>1057</v>
      </c>
      <c r="H7" s="25" t="s">
        <v>1057</v>
      </c>
      <c r="I7" s="25" t="str">
        <f>IF(Setup!C12&lt;&gt;"",Setup!C12,Setup!B12)</f>
        <v>Canada</v>
      </c>
      <c r="K7" s="19"/>
      <c r="T7" s="20"/>
    </row>
    <row r="8" spans="1:20" x14ac:dyDescent="0.25">
      <c r="A8" s="24">
        <v>7</v>
      </c>
      <c r="B8" s="25" t="str">
        <f>Setup!B13</f>
        <v>Bosnia and Herzegovina</v>
      </c>
      <c r="C8" s="25" t="s">
        <v>1139</v>
      </c>
      <c r="D8" s="25" t="s">
        <v>1147</v>
      </c>
      <c r="E8" s="25" t="s">
        <v>1148</v>
      </c>
      <c r="F8" s="25" t="s">
        <v>1149</v>
      </c>
      <c r="G8" s="25" t="s">
        <v>1150</v>
      </c>
      <c r="H8" s="25" t="s">
        <v>1151</v>
      </c>
      <c r="I8" s="25" t="str">
        <f>IF(Setup!C13&lt;&gt;"",Setup!C13,Setup!B13)</f>
        <v>Bosnia and Herzegovina</v>
      </c>
      <c r="K8" s="19"/>
    </row>
    <row r="9" spans="1:20" x14ac:dyDescent="0.25">
      <c r="A9" s="24">
        <v>8</v>
      </c>
      <c r="B9" s="25" t="str">
        <f>Setup!B14</f>
        <v>Qatar</v>
      </c>
      <c r="C9" s="25" t="s">
        <v>479</v>
      </c>
      <c r="D9" s="25" t="s">
        <v>479</v>
      </c>
      <c r="E9" s="25" t="s">
        <v>1005</v>
      </c>
      <c r="F9" s="25" t="s">
        <v>479</v>
      </c>
      <c r="G9" s="25" t="s">
        <v>1058</v>
      </c>
      <c r="H9" s="25" t="s">
        <v>1005</v>
      </c>
      <c r="I9" s="25" t="str">
        <f>IF(Setup!C14&lt;&gt;"",Setup!C14,Setup!B14)</f>
        <v>Qatar</v>
      </c>
      <c r="K9" s="19"/>
      <c r="T9" s="20"/>
    </row>
    <row r="10" spans="1:20" x14ac:dyDescent="0.25">
      <c r="A10" s="24">
        <v>9</v>
      </c>
      <c r="B10" s="25" t="str">
        <f>Setup!B15</f>
        <v>Switzerland</v>
      </c>
      <c r="C10" s="25" t="s">
        <v>480</v>
      </c>
      <c r="D10" s="25" t="s">
        <v>972</v>
      </c>
      <c r="E10" s="25" t="s">
        <v>1006</v>
      </c>
      <c r="F10" s="25" t="s">
        <v>1033</v>
      </c>
      <c r="G10" s="25" t="s">
        <v>1059</v>
      </c>
      <c r="H10" s="25" t="s">
        <v>1092</v>
      </c>
      <c r="I10" s="25" t="str">
        <f>IF(Setup!C15&lt;&gt;"",Setup!C15,Setup!B15)</f>
        <v>Switzerland</v>
      </c>
      <c r="K10" s="19"/>
    </row>
    <row r="11" spans="1:20" x14ac:dyDescent="0.25">
      <c r="A11" s="24">
        <v>10</v>
      </c>
      <c r="B11" s="25" t="str">
        <f>Setup!B16</f>
        <v>Brazil</v>
      </c>
      <c r="C11" s="25" t="s">
        <v>481</v>
      </c>
      <c r="D11" s="25" t="s">
        <v>973</v>
      </c>
      <c r="E11" s="25" t="s">
        <v>1007</v>
      </c>
      <c r="F11" s="25" t="s">
        <v>1034</v>
      </c>
      <c r="G11" s="25" t="s">
        <v>1060</v>
      </c>
      <c r="H11" s="25" t="s">
        <v>1060</v>
      </c>
      <c r="I11" s="25" t="str">
        <f>IF(Setup!C16&lt;&gt;"",Setup!C16,Setup!B16)</f>
        <v>Brazil</v>
      </c>
      <c r="K11" s="19"/>
      <c r="T11" s="20"/>
    </row>
    <row r="12" spans="1:20" x14ac:dyDescent="0.25">
      <c r="A12" s="24">
        <v>11</v>
      </c>
      <c r="B12" s="25" t="str">
        <f>Setup!B17</f>
        <v>Morocco</v>
      </c>
      <c r="C12" s="25" t="s">
        <v>482</v>
      </c>
      <c r="D12" s="25" t="s">
        <v>974</v>
      </c>
      <c r="E12" s="25" t="s">
        <v>1008</v>
      </c>
      <c r="F12" s="25" t="s">
        <v>1035</v>
      </c>
      <c r="G12" s="25" t="s">
        <v>1061</v>
      </c>
      <c r="H12" s="25" t="s">
        <v>1093</v>
      </c>
      <c r="I12" s="25" t="str">
        <f>IF(Setup!C17&lt;&gt;"",Setup!C17,Setup!B17)</f>
        <v>Morocco</v>
      </c>
      <c r="K12" s="19"/>
      <c r="T12" s="20"/>
    </row>
    <row r="13" spans="1:20" x14ac:dyDescent="0.25">
      <c r="A13" s="24">
        <v>12</v>
      </c>
      <c r="B13" s="25" t="str">
        <f>Setup!B18</f>
        <v>Haiti</v>
      </c>
      <c r="C13" s="25" t="s">
        <v>483</v>
      </c>
      <c r="D13" s="25" t="s">
        <v>975</v>
      </c>
      <c r="E13" s="25" t="s">
        <v>483</v>
      </c>
      <c r="F13" s="25" t="s">
        <v>483</v>
      </c>
      <c r="G13" s="25" t="s">
        <v>483</v>
      </c>
      <c r="H13" s="25" t="s">
        <v>1094</v>
      </c>
      <c r="I13" s="25" t="str">
        <f>IF(Setup!C18&lt;&gt;"",Setup!C18,Setup!B18)</f>
        <v>Haiti</v>
      </c>
      <c r="K13" s="19"/>
    </row>
    <row r="14" spans="1:20" x14ac:dyDescent="0.25">
      <c r="A14" s="24">
        <v>13</v>
      </c>
      <c r="B14" s="25" t="str">
        <f>Setup!B19</f>
        <v>Scotland</v>
      </c>
      <c r="C14" s="25" t="s">
        <v>484</v>
      </c>
      <c r="D14" s="25" t="s">
        <v>976</v>
      </c>
      <c r="E14" s="25" t="s">
        <v>1009</v>
      </c>
      <c r="F14" s="25" t="s">
        <v>1036</v>
      </c>
      <c r="G14" s="25" t="s">
        <v>1062</v>
      </c>
      <c r="H14" s="25" t="s">
        <v>1095</v>
      </c>
      <c r="I14" s="25" t="str">
        <f>IF(Setup!C19&lt;&gt;"",Setup!C19,Setup!B19)</f>
        <v>Scotland</v>
      </c>
      <c r="K14" s="19"/>
      <c r="T14" s="20"/>
    </row>
    <row r="15" spans="1:20" x14ac:dyDescent="0.25">
      <c r="A15" s="24">
        <v>14</v>
      </c>
      <c r="B15" s="25" t="str">
        <f>Setup!B20</f>
        <v>USA</v>
      </c>
      <c r="C15" s="25" t="s">
        <v>431</v>
      </c>
      <c r="D15" s="25" t="s">
        <v>1152</v>
      </c>
      <c r="E15" s="25" t="s">
        <v>431</v>
      </c>
      <c r="F15" s="25" t="s">
        <v>431</v>
      </c>
      <c r="G15" s="25" t="s">
        <v>1063</v>
      </c>
      <c r="H15" s="25" t="s">
        <v>1153</v>
      </c>
      <c r="I15" s="25" t="str">
        <f>IF(Setup!C20&lt;&gt;"",Setup!C20,Setup!B20)</f>
        <v>USA</v>
      </c>
      <c r="K15" s="19"/>
      <c r="T15" s="20"/>
    </row>
    <row r="16" spans="1:20" x14ac:dyDescent="0.25">
      <c r="A16" s="24">
        <v>15</v>
      </c>
      <c r="B16" s="25" t="str">
        <f>Setup!B21</f>
        <v>Paraguay</v>
      </c>
      <c r="C16" s="25" t="s">
        <v>485</v>
      </c>
      <c r="D16" s="25" t="s">
        <v>485</v>
      </c>
      <c r="E16" s="25" t="s">
        <v>485</v>
      </c>
      <c r="F16" s="25" t="s">
        <v>485</v>
      </c>
      <c r="G16" s="25" t="s">
        <v>1064</v>
      </c>
      <c r="H16" s="25" t="s">
        <v>485</v>
      </c>
      <c r="I16" s="25" t="str">
        <f>IF(Setup!C21&lt;&gt;"",Setup!C21,Setup!B21)</f>
        <v>Paraguay</v>
      </c>
      <c r="K16" s="19"/>
      <c r="T16" s="20"/>
    </row>
    <row r="17" spans="1:20" x14ac:dyDescent="0.25">
      <c r="A17" s="24">
        <v>16</v>
      </c>
      <c r="B17" s="25" t="str">
        <f>Setup!B22</f>
        <v>Australia</v>
      </c>
      <c r="C17" s="25" t="s">
        <v>486</v>
      </c>
      <c r="D17" s="25" t="s">
        <v>977</v>
      </c>
      <c r="E17" s="25" t="s">
        <v>1010</v>
      </c>
      <c r="F17" s="25" t="s">
        <v>486</v>
      </c>
      <c r="G17" s="25" t="s">
        <v>1065</v>
      </c>
      <c r="H17" s="25" t="s">
        <v>486</v>
      </c>
      <c r="I17" s="25" t="str">
        <f>IF(Setup!C22&lt;&gt;"",Setup!C22,Setup!B22)</f>
        <v>Australia</v>
      </c>
      <c r="K17" s="19"/>
      <c r="T17" s="20"/>
    </row>
    <row r="18" spans="1:20" x14ac:dyDescent="0.25">
      <c r="A18" s="24">
        <v>17</v>
      </c>
      <c r="B18" s="25" t="str">
        <f>Setup!B23</f>
        <v>Türkiye</v>
      </c>
      <c r="C18" s="25" t="s">
        <v>1140</v>
      </c>
      <c r="D18" s="25" t="s">
        <v>1154</v>
      </c>
      <c r="E18" s="25" t="s">
        <v>1155</v>
      </c>
      <c r="F18" s="25" t="s">
        <v>1156</v>
      </c>
      <c r="G18" s="25" t="s">
        <v>1157</v>
      </c>
      <c r="H18" s="25" t="s">
        <v>1158</v>
      </c>
      <c r="I18" s="25" t="str">
        <f>IF(Setup!C23&lt;&gt;"",Setup!C23,Setup!B23)</f>
        <v>Türkiye</v>
      </c>
      <c r="K18" s="19"/>
    </row>
    <row r="19" spans="1:20" x14ac:dyDescent="0.25">
      <c r="A19" s="24">
        <v>18</v>
      </c>
      <c r="B19" s="25" t="str">
        <f>Setup!B24</f>
        <v>Germany</v>
      </c>
      <c r="C19" s="25" t="s">
        <v>487</v>
      </c>
      <c r="D19" s="25" t="s">
        <v>978</v>
      </c>
      <c r="E19" s="25" t="s">
        <v>1011</v>
      </c>
      <c r="F19" s="25" t="s">
        <v>1037</v>
      </c>
      <c r="G19" s="25" t="s">
        <v>1066</v>
      </c>
      <c r="H19" s="25" t="s">
        <v>1096</v>
      </c>
      <c r="I19" s="25" t="str">
        <f>IF(Setup!C24&lt;&gt;"",Setup!C24,Setup!B24)</f>
        <v>Germany</v>
      </c>
      <c r="K19" s="19"/>
      <c r="T19" s="20"/>
    </row>
    <row r="20" spans="1:20" x14ac:dyDescent="0.25">
      <c r="A20" s="24">
        <v>19</v>
      </c>
      <c r="B20" s="25" t="str">
        <f>Setup!B25</f>
        <v>Curacao</v>
      </c>
      <c r="C20" s="25" t="s">
        <v>488</v>
      </c>
      <c r="D20" s="25" t="s">
        <v>979</v>
      </c>
      <c r="E20" s="25" t="s">
        <v>979</v>
      </c>
      <c r="F20" s="25" t="s">
        <v>979</v>
      </c>
      <c r="G20" s="25" t="s">
        <v>979</v>
      </c>
      <c r="H20" s="25" t="s">
        <v>1097</v>
      </c>
      <c r="I20" s="25" t="str">
        <f>IF(Setup!C25&lt;&gt;"",Setup!C25,Setup!B25)</f>
        <v>Curacao</v>
      </c>
      <c r="K20" s="19"/>
    </row>
    <row r="21" spans="1:20" x14ac:dyDescent="0.25">
      <c r="A21" s="24">
        <v>20</v>
      </c>
      <c r="B21" s="25" t="str">
        <f>Setup!B26</f>
        <v>Cote D'Voire</v>
      </c>
      <c r="C21" s="25" t="s">
        <v>489</v>
      </c>
      <c r="D21" s="25" t="s">
        <v>980</v>
      </c>
      <c r="E21" s="25" t="s">
        <v>1012</v>
      </c>
      <c r="F21" s="25" t="s">
        <v>1038</v>
      </c>
      <c r="G21" s="25" t="s">
        <v>1067</v>
      </c>
      <c r="H21" s="25" t="s">
        <v>1098</v>
      </c>
      <c r="I21" s="25" t="str">
        <f>IF(Setup!C26&lt;&gt;"",Setup!C26,Setup!B26)</f>
        <v>Cote D'Voire</v>
      </c>
      <c r="K21" s="19"/>
      <c r="T21" s="20"/>
    </row>
    <row r="22" spans="1:20" x14ac:dyDescent="0.25">
      <c r="A22" s="24">
        <v>21</v>
      </c>
      <c r="B22" s="25" t="str">
        <f>Setup!B27</f>
        <v>Ecuador</v>
      </c>
      <c r="C22" s="25" t="s">
        <v>490</v>
      </c>
      <c r="D22" s="25" t="s">
        <v>981</v>
      </c>
      <c r="E22" s="25" t="s">
        <v>490</v>
      </c>
      <c r="F22" s="25" t="s">
        <v>490</v>
      </c>
      <c r="G22" s="25" t="s">
        <v>1068</v>
      </c>
      <c r="H22" s="25" t="s">
        <v>490</v>
      </c>
      <c r="I22" s="25" t="str">
        <f>IF(Setup!C27&lt;&gt;"",Setup!C27,Setup!B27)</f>
        <v>Ecuador</v>
      </c>
      <c r="K22" s="19"/>
    </row>
    <row r="23" spans="1:20" x14ac:dyDescent="0.25">
      <c r="A23" s="24">
        <v>22</v>
      </c>
      <c r="B23" s="25" t="str">
        <f>Setup!B28</f>
        <v>Netherlands</v>
      </c>
      <c r="C23" s="25" t="s">
        <v>491</v>
      </c>
      <c r="D23" s="25" t="s">
        <v>982</v>
      </c>
      <c r="E23" s="25" t="s">
        <v>1013</v>
      </c>
      <c r="F23" s="25" t="s">
        <v>1039</v>
      </c>
      <c r="G23" s="25" t="s">
        <v>1069</v>
      </c>
      <c r="H23" s="25" t="s">
        <v>1099</v>
      </c>
      <c r="I23" s="25" t="str">
        <f>IF(Setup!C28&lt;&gt;"",Setup!C28,Setup!B28)</f>
        <v>Netherlands</v>
      </c>
      <c r="K23" s="19"/>
      <c r="T23" s="20"/>
    </row>
    <row r="24" spans="1:20" x14ac:dyDescent="0.25">
      <c r="A24" s="24">
        <v>23</v>
      </c>
      <c r="B24" s="25" t="str">
        <f>Setup!B29</f>
        <v>Japan</v>
      </c>
      <c r="C24" s="25" t="s">
        <v>492</v>
      </c>
      <c r="D24" s="25" t="s">
        <v>983</v>
      </c>
      <c r="E24" s="25" t="s">
        <v>492</v>
      </c>
      <c r="F24" s="25" t="s">
        <v>1040</v>
      </c>
      <c r="G24" s="25" t="s">
        <v>1070</v>
      </c>
      <c r="H24" s="25" t="s">
        <v>1100</v>
      </c>
      <c r="I24" s="25" t="str">
        <f>IF(Setup!C29&lt;&gt;"",Setup!C29,Setup!B29)</f>
        <v>Japan</v>
      </c>
      <c r="K24" s="19"/>
      <c r="T24" s="20"/>
    </row>
    <row r="25" spans="1:20" x14ac:dyDescent="0.25">
      <c r="A25" s="24">
        <v>24</v>
      </c>
      <c r="B25" s="25" t="str">
        <f>Setup!B30</f>
        <v>Sweden</v>
      </c>
      <c r="C25" s="25" t="s">
        <v>1141</v>
      </c>
      <c r="D25" s="25" t="s">
        <v>1159</v>
      </c>
      <c r="E25" s="25" t="s">
        <v>1160</v>
      </c>
      <c r="F25" s="25" t="s">
        <v>1161</v>
      </c>
      <c r="G25" s="25" t="s">
        <v>1162</v>
      </c>
      <c r="H25" s="25" t="s">
        <v>1163</v>
      </c>
      <c r="I25" s="25" t="str">
        <f>IF(Setup!C30&lt;&gt;"",Setup!C30,Setup!B30)</f>
        <v>Sweden</v>
      </c>
      <c r="K25" s="19"/>
    </row>
    <row r="26" spans="1:20" x14ac:dyDescent="0.25">
      <c r="A26" s="24">
        <v>25</v>
      </c>
      <c r="B26" s="25" t="str">
        <f>Setup!B31</f>
        <v>Tunisia</v>
      </c>
      <c r="C26" s="25" t="s">
        <v>493</v>
      </c>
      <c r="D26" s="25" t="s">
        <v>984</v>
      </c>
      <c r="E26" s="25" t="s">
        <v>1014</v>
      </c>
      <c r="F26" s="25" t="s">
        <v>493</v>
      </c>
      <c r="G26" s="25" t="s">
        <v>1071</v>
      </c>
      <c r="H26" s="25" t="s">
        <v>1101</v>
      </c>
      <c r="I26" s="25" t="str">
        <f>IF(Setup!C31&lt;&gt;"",Setup!C31,Setup!B31)</f>
        <v>Tunisia</v>
      </c>
      <c r="K26" s="19"/>
      <c r="T26" s="20"/>
    </row>
    <row r="27" spans="1:20" x14ac:dyDescent="0.25">
      <c r="A27" s="24">
        <v>26</v>
      </c>
      <c r="B27" s="25" t="str">
        <f>Setup!B32</f>
        <v>Belgium</v>
      </c>
      <c r="C27" s="25" t="s">
        <v>494</v>
      </c>
      <c r="D27" s="25" t="s">
        <v>985</v>
      </c>
      <c r="E27" s="25" t="s">
        <v>1015</v>
      </c>
      <c r="F27" s="25" t="s">
        <v>1041</v>
      </c>
      <c r="G27" s="25" t="s">
        <v>1072</v>
      </c>
      <c r="H27" s="25" t="s">
        <v>1072</v>
      </c>
      <c r="I27" s="25" t="str">
        <f>IF(Setup!C32&lt;&gt;"",Setup!C32,Setup!B32)</f>
        <v>Belgium</v>
      </c>
      <c r="K27" s="19"/>
      <c r="T27" s="20"/>
    </row>
    <row r="28" spans="1:20" x14ac:dyDescent="0.25">
      <c r="A28" s="24">
        <v>27</v>
      </c>
      <c r="B28" s="25" t="str">
        <f>Setup!B33</f>
        <v>Egypt</v>
      </c>
      <c r="C28" s="25" t="s">
        <v>495</v>
      </c>
      <c r="D28" s="25" t="s">
        <v>986</v>
      </c>
      <c r="E28" s="25" t="s">
        <v>1016</v>
      </c>
      <c r="F28" s="25" t="s">
        <v>1042</v>
      </c>
      <c r="G28" s="25" t="s">
        <v>1073</v>
      </c>
      <c r="H28" s="25" t="s">
        <v>1102</v>
      </c>
      <c r="I28" s="25" t="str">
        <f>IF(Setup!C33&lt;&gt;"",Setup!C33,Setup!B33)</f>
        <v>Egypt</v>
      </c>
      <c r="K28" s="19"/>
      <c r="T28" s="20"/>
    </row>
    <row r="29" spans="1:20" x14ac:dyDescent="0.25">
      <c r="A29" s="24">
        <v>28</v>
      </c>
      <c r="B29" s="25" t="str">
        <f>Setup!B34</f>
        <v>Iran</v>
      </c>
      <c r="C29" s="25" t="s">
        <v>496</v>
      </c>
      <c r="D29" s="25" t="s">
        <v>496</v>
      </c>
      <c r="E29" s="25" t="s">
        <v>496</v>
      </c>
      <c r="F29" s="25" t="s">
        <v>1043</v>
      </c>
      <c r="G29" s="25" t="s">
        <v>1074</v>
      </c>
      <c r="H29" s="25" t="s">
        <v>1103</v>
      </c>
      <c r="I29" s="25" t="str">
        <f>IF(Setup!C34&lt;&gt;"",Setup!C34,Setup!B34)</f>
        <v>Iran</v>
      </c>
      <c r="K29" s="19"/>
    </row>
    <row r="30" spans="1:20" x14ac:dyDescent="0.25">
      <c r="A30" s="24">
        <v>29</v>
      </c>
      <c r="B30" s="25" t="str">
        <f>Setup!B35</f>
        <v>New Zealand</v>
      </c>
      <c r="C30" s="25" t="s">
        <v>497</v>
      </c>
      <c r="D30" s="25" t="s">
        <v>987</v>
      </c>
      <c r="E30" s="25" t="s">
        <v>1017</v>
      </c>
      <c r="F30" s="25" t="s">
        <v>1044</v>
      </c>
      <c r="G30" s="25" t="s">
        <v>1075</v>
      </c>
      <c r="H30" s="25" t="s">
        <v>1104</v>
      </c>
      <c r="I30" s="25" t="str">
        <f>IF(Setup!C35&lt;&gt;"",Setup!C35,Setup!B35)</f>
        <v>New Zealand</v>
      </c>
      <c r="K30" s="19"/>
    </row>
    <row r="31" spans="1:20" x14ac:dyDescent="0.25">
      <c r="A31" s="24">
        <v>30</v>
      </c>
      <c r="B31" s="25" t="str">
        <f>Setup!B36</f>
        <v>Spain</v>
      </c>
      <c r="C31" s="25" t="s">
        <v>498</v>
      </c>
      <c r="D31" s="25" t="s">
        <v>988</v>
      </c>
      <c r="E31" s="25" t="s">
        <v>1018</v>
      </c>
      <c r="F31" s="25" t="s">
        <v>1045</v>
      </c>
      <c r="G31" s="25" t="s">
        <v>1076</v>
      </c>
      <c r="H31" s="25" t="s">
        <v>1105</v>
      </c>
      <c r="I31" s="25" t="str">
        <f>IF(Setup!C36&lt;&gt;"",Setup!C36,Setup!B36)</f>
        <v>Spain</v>
      </c>
      <c r="K31" s="19"/>
      <c r="T31" s="20"/>
    </row>
    <row r="32" spans="1:20" x14ac:dyDescent="0.25">
      <c r="A32" s="24">
        <v>31</v>
      </c>
      <c r="B32" s="25" t="str">
        <f>Setup!B37</f>
        <v>Cabo Verde</v>
      </c>
      <c r="C32" s="25" t="s">
        <v>633</v>
      </c>
      <c r="D32" s="25" t="s">
        <v>989</v>
      </c>
      <c r="E32" s="25" t="s">
        <v>1019</v>
      </c>
      <c r="F32" s="25" t="s">
        <v>1046</v>
      </c>
      <c r="G32" s="25" t="s">
        <v>633</v>
      </c>
      <c r="H32" s="25" t="s">
        <v>633</v>
      </c>
      <c r="I32" s="25" t="str">
        <f>IF(Setup!C37&lt;&gt;"",Setup!C37,Setup!B37)</f>
        <v>Cabo Verde</v>
      </c>
      <c r="K32" s="19"/>
      <c r="T32" s="20"/>
    </row>
    <row r="33" spans="1:20" x14ac:dyDescent="0.25">
      <c r="A33" s="24">
        <v>32</v>
      </c>
      <c r="B33" s="25" t="str">
        <f>Setup!B38</f>
        <v>Saudi Arabia</v>
      </c>
      <c r="C33" s="25" t="s">
        <v>499</v>
      </c>
      <c r="D33" s="25" t="s">
        <v>990</v>
      </c>
      <c r="E33" s="25" t="s">
        <v>1020</v>
      </c>
      <c r="F33" s="25" t="s">
        <v>1047</v>
      </c>
      <c r="G33" s="25" t="s">
        <v>1077</v>
      </c>
      <c r="H33" s="25" t="s">
        <v>1047</v>
      </c>
      <c r="I33" s="25" t="str">
        <f>IF(Setup!C38&lt;&gt;"",Setup!C38,Setup!B38)</f>
        <v>Saudi Arabia</v>
      </c>
      <c r="K33" s="19"/>
      <c r="T33" s="20"/>
    </row>
    <row r="34" spans="1:20" x14ac:dyDescent="0.25">
      <c r="A34" s="24">
        <v>33</v>
      </c>
      <c r="B34" s="25" t="str">
        <f>Setup!B39</f>
        <v>Uruguay</v>
      </c>
      <c r="C34" s="25" t="s">
        <v>500</v>
      </c>
      <c r="D34" s="25" t="s">
        <v>500</v>
      </c>
      <c r="E34" s="25" t="s">
        <v>500</v>
      </c>
      <c r="F34" s="25" t="s">
        <v>500</v>
      </c>
      <c r="G34" s="25" t="s">
        <v>1078</v>
      </c>
      <c r="H34" s="25" t="s">
        <v>500</v>
      </c>
      <c r="I34" s="25" t="str">
        <f>IF(Setup!C39&lt;&gt;"",Setup!C39,Setup!B39)</f>
        <v>Uruguay</v>
      </c>
      <c r="T34" s="20"/>
    </row>
    <row r="35" spans="1:20" x14ac:dyDescent="0.25">
      <c r="A35" s="24">
        <v>34</v>
      </c>
      <c r="B35" s="25" t="str">
        <f>Setup!B40</f>
        <v>France</v>
      </c>
      <c r="C35" s="25" t="s">
        <v>501</v>
      </c>
      <c r="D35" s="25" t="s">
        <v>501</v>
      </c>
      <c r="E35" s="25" t="s">
        <v>1021</v>
      </c>
      <c r="F35" s="25" t="s">
        <v>1048</v>
      </c>
      <c r="G35" s="25" t="s">
        <v>1079</v>
      </c>
      <c r="H35" s="25" t="s">
        <v>1048</v>
      </c>
      <c r="I35" s="25" t="str">
        <f>IF(Setup!C40&lt;&gt;"",Setup!C40,Setup!B40)</f>
        <v>France</v>
      </c>
      <c r="T35" s="20"/>
    </row>
    <row r="36" spans="1:20" x14ac:dyDescent="0.25">
      <c r="A36" s="24">
        <v>35</v>
      </c>
      <c r="B36" s="25" t="str">
        <f>Setup!B41</f>
        <v>Senegal</v>
      </c>
      <c r="C36" s="25" t="s">
        <v>502</v>
      </c>
      <c r="D36" s="25" t="s">
        <v>991</v>
      </c>
      <c r="E36" s="25" t="s">
        <v>502</v>
      </c>
      <c r="F36" s="25" t="s">
        <v>502</v>
      </c>
      <c r="G36" s="25" t="s">
        <v>502</v>
      </c>
      <c r="H36" s="25" t="s">
        <v>502</v>
      </c>
      <c r="I36" s="25" t="str">
        <f>IF(Setup!C41&lt;&gt;"",Setup!C41,Setup!B41)</f>
        <v>Senegal</v>
      </c>
      <c r="T36" s="20"/>
    </row>
    <row r="37" spans="1:20" x14ac:dyDescent="0.25">
      <c r="A37" s="24">
        <v>36</v>
      </c>
      <c r="B37" s="25" t="str">
        <f>Setup!B42</f>
        <v>Iraq</v>
      </c>
      <c r="C37" s="25" t="s">
        <v>1164</v>
      </c>
      <c r="D37" s="25" t="s">
        <v>1164</v>
      </c>
      <c r="E37" s="25" t="s">
        <v>1164</v>
      </c>
      <c r="F37" s="25" t="s">
        <v>1164</v>
      </c>
      <c r="G37" s="25" t="s">
        <v>1164</v>
      </c>
      <c r="H37" s="25" t="s">
        <v>1164</v>
      </c>
      <c r="I37" s="25" t="str">
        <f>IF(Setup!C42&lt;&gt;"",Setup!C42,Setup!B42)</f>
        <v>Iraq</v>
      </c>
      <c r="T37" s="20"/>
    </row>
    <row r="38" spans="1:20" x14ac:dyDescent="0.25">
      <c r="A38" s="24">
        <v>37</v>
      </c>
      <c r="B38" s="25" t="str">
        <f>Setup!B43</f>
        <v>Norway</v>
      </c>
      <c r="C38" s="25" t="s">
        <v>503</v>
      </c>
      <c r="D38" s="25" t="s">
        <v>992</v>
      </c>
      <c r="E38" s="25" t="s">
        <v>1022</v>
      </c>
      <c r="F38" s="25" t="s">
        <v>1049</v>
      </c>
      <c r="G38" s="25" t="s">
        <v>1080</v>
      </c>
      <c r="H38" s="25" t="s">
        <v>1080</v>
      </c>
      <c r="I38" s="25" t="str">
        <f>IF(Setup!C43&lt;&gt;"",Setup!C43,Setup!B43)</f>
        <v>Norway</v>
      </c>
      <c r="T38" s="20"/>
    </row>
    <row r="39" spans="1:20" x14ac:dyDescent="0.25">
      <c r="A39" s="24">
        <v>38</v>
      </c>
      <c r="B39" s="25" t="str">
        <f>Setup!B44</f>
        <v>Argentina</v>
      </c>
      <c r="C39" s="25" t="s">
        <v>504</v>
      </c>
      <c r="D39" s="25" t="s">
        <v>993</v>
      </c>
      <c r="E39" s="25" t="s">
        <v>1023</v>
      </c>
      <c r="F39" s="25" t="s">
        <v>504</v>
      </c>
      <c r="G39" s="25" t="s">
        <v>504</v>
      </c>
      <c r="H39" s="25" t="s">
        <v>504</v>
      </c>
      <c r="I39" s="25" t="str">
        <f>IF(Setup!C44&lt;&gt;"",Setup!C44,Setup!B44)</f>
        <v>Argentina</v>
      </c>
      <c r="T39" s="20"/>
    </row>
    <row r="40" spans="1:20" x14ac:dyDescent="0.25">
      <c r="A40" s="24">
        <v>39</v>
      </c>
      <c r="B40" s="25" t="str">
        <f>Setup!B45</f>
        <v>Algeria</v>
      </c>
      <c r="C40" s="25" t="s">
        <v>505</v>
      </c>
      <c r="D40" s="25" t="s">
        <v>994</v>
      </c>
      <c r="E40" s="25" t="s">
        <v>1024</v>
      </c>
      <c r="F40" s="25" t="s">
        <v>505</v>
      </c>
      <c r="G40" s="25" t="s">
        <v>1081</v>
      </c>
      <c r="H40" s="25" t="s">
        <v>1106</v>
      </c>
      <c r="I40" s="25" t="str">
        <f>IF(Setup!C45&lt;&gt;"",Setup!C45,Setup!B45)</f>
        <v>Algeria</v>
      </c>
      <c r="T40" s="20"/>
    </row>
    <row r="41" spans="1:20" x14ac:dyDescent="0.25">
      <c r="A41" s="24">
        <v>40</v>
      </c>
      <c r="B41" s="25" t="str">
        <f>Setup!B46</f>
        <v>Austria</v>
      </c>
      <c r="C41" s="25" t="s">
        <v>506</v>
      </c>
      <c r="D41" s="25" t="s">
        <v>995</v>
      </c>
      <c r="E41" s="25" t="s">
        <v>1025</v>
      </c>
      <c r="F41" s="25" t="s">
        <v>506</v>
      </c>
      <c r="G41" s="25" t="s">
        <v>1082</v>
      </c>
      <c r="H41" s="25" t="s">
        <v>506</v>
      </c>
      <c r="I41" s="25" t="str">
        <f>IF(Setup!C46&lt;&gt;"",Setup!C46,Setup!B46)</f>
        <v>Austria</v>
      </c>
      <c r="T41" s="20"/>
    </row>
    <row r="42" spans="1:20" x14ac:dyDescent="0.25">
      <c r="A42" s="24">
        <v>41</v>
      </c>
      <c r="B42" s="25" t="str">
        <f>Setup!B47</f>
        <v>Jordan</v>
      </c>
      <c r="C42" s="25" t="s">
        <v>507</v>
      </c>
      <c r="D42" s="25" t="s">
        <v>996</v>
      </c>
      <c r="E42" s="25" t="s">
        <v>1026</v>
      </c>
      <c r="F42" s="25" t="s">
        <v>1050</v>
      </c>
      <c r="G42" s="25" t="s">
        <v>1083</v>
      </c>
      <c r="H42" s="25" t="s">
        <v>1107</v>
      </c>
      <c r="I42" s="25" t="str">
        <f>IF(Setup!C47&lt;&gt;"",Setup!C47,Setup!B47)</f>
        <v>Jordan</v>
      </c>
      <c r="T42" s="20"/>
    </row>
    <row r="43" spans="1:20" x14ac:dyDescent="0.25">
      <c r="A43" s="24">
        <v>42</v>
      </c>
      <c r="B43" s="25" t="str">
        <f>Setup!B48</f>
        <v>Portugal</v>
      </c>
      <c r="C43" s="25" t="s">
        <v>508</v>
      </c>
      <c r="D43" s="25" t="s">
        <v>508</v>
      </c>
      <c r="E43" s="25" t="s">
        <v>508</v>
      </c>
      <c r="F43" s="25" t="s">
        <v>1051</v>
      </c>
      <c r="G43" s="25" t="s">
        <v>508</v>
      </c>
      <c r="H43" s="25" t="s">
        <v>508</v>
      </c>
      <c r="I43" s="25" t="str">
        <f>IF(Setup!C48&lt;&gt;"",Setup!C48,Setup!B48)</f>
        <v>Portugal</v>
      </c>
      <c r="T43" s="20"/>
    </row>
    <row r="44" spans="1:20" x14ac:dyDescent="0.25">
      <c r="A44" s="24">
        <v>43</v>
      </c>
      <c r="B44" s="25" t="str">
        <f>Setup!B49</f>
        <v>DR Congo</v>
      </c>
      <c r="C44" s="25" t="s">
        <v>1165</v>
      </c>
      <c r="D44" s="25" t="s">
        <v>1165</v>
      </c>
      <c r="E44" s="25" t="s">
        <v>1165</v>
      </c>
      <c r="F44" s="25" t="s">
        <v>1165</v>
      </c>
      <c r="G44" s="25" t="s">
        <v>1165</v>
      </c>
      <c r="H44" s="25" t="s">
        <v>1165</v>
      </c>
      <c r="I44" s="25" t="str">
        <f>IF(Setup!C49&lt;&gt;"",Setup!C49,Setup!B49)</f>
        <v>DR Congo</v>
      </c>
      <c r="T44" s="20"/>
    </row>
    <row r="45" spans="1:20" x14ac:dyDescent="0.25">
      <c r="A45" s="24">
        <v>44</v>
      </c>
      <c r="B45" s="25" t="str">
        <f>Setup!B50</f>
        <v>Uzbekistan</v>
      </c>
      <c r="C45" s="25" t="s">
        <v>509</v>
      </c>
      <c r="D45" s="25" t="s">
        <v>997</v>
      </c>
      <c r="E45" s="25" t="s">
        <v>1027</v>
      </c>
      <c r="F45" s="25" t="s">
        <v>509</v>
      </c>
      <c r="G45" s="25" t="s">
        <v>1084</v>
      </c>
      <c r="H45" s="25" t="s">
        <v>1108</v>
      </c>
      <c r="I45" s="25" t="str">
        <f>IF(Setup!C50&lt;&gt;"",Setup!C50,Setup!B50)</f>
        <v>Uzbekistan</v>
      </c>
      <c r="T45" s="20"/>
    </row>
    <row r="46" spans="1:20" x14ac:dyDescent="0.25">
      <c r="A46" s="24">
        <v>45</v>
      </c>
      <c r="B46" s="25" t="str">
        <f>Setup!B51</f>
        <v>Colombia</v>
      </c>
      <c r="C46" s="25" t="s">
        <v>510</v>
      </c>
      <c r="D46" s="25" t="s">
        <v>998</v>
      </c>
      <c r="E46" s="25" t="s">
        <v>1028</v>
      </c>
      <c r="F46" s="25" t="s">
        <v>510</v>
      </c>
      <c r="G46" s="25" t="s">
        <v>1085</v>
      </c>
      <c r="H46" s="25" t="s">
        <v>510</v>
      </c>
      <c r="I46" s="25" t="str">
        <f>IF(Setup!C51&lt;&gt;"",Setup!C51,Setup!B51)</f>
        <v>Colombia</v>
      </c>
      <c r="T46" s="20"/>
    </row>
    <row r="47" spans="1:20" x14ac:dyDescent="0.25">
      <c r="A47" s="24">
        <v>46</v>
      </c>
      <c r="B47" s="25" t="str">
        <f>Setup!B52</f>
        <v>England</v>
      </c>
      <c r="C47" s="25" t="s">
        <v>511</v>
      </c>
      <c r="D47" s="25" t="s">
        <v>999</v>
      </c>
      <c r="E47" s="25" t="s">
        <v>511</v>
      </c>
      <c r="F47" s="25" t="s">
        <v>1052</v>
      </c>
      <c r="G47" s="25" t="s">
        <v>1086</v>
      </c>
      <c r="H47" s="25" t="s">
        <v>1086</v>
      </c>
      <c r="I47" s="25" t="str">
        <f>IF(Setup!C52&lt;&gt;"",Setup!C52,Setup!B52)</f>
        <v>England</v>
      </c>
      <c r="T47" s="20"/>
    </row>
    <row r="48" spans="1:20" x14ac:dyDescent="0.25">
      <c r="A48" s="24">
        <v>47</v>
      </c>
      <c r="B48" s="25" t="str">
        <f>Setup!B53</f>
        <v>Croatia</v>
      </c>
      <c r="C48" s="25" t="s">
        <v>512</v>
      </c>
      <c r="D48" s="25" t="s">
        <v>1000</v>
      </c>
      <c r="E48" s="25" t="s">
        <v>1029</v>
      </c>
      <c r="F48" s="25" t="s">
        <v>1053</v>
      </c>
      <c r="G48" s="25" t="s">
        <v>1087</v>
      </c>
      <c r="H48" s="25" t="s">
        <v>1109</v>
      </c>
      <c r="I48" s="25" t="str">
        <f>IF(Setup!C53&lt;&gt;"",Setup!C53,Setup!B53)</f>
        <v>Croatia</v>
      </c>
      <c r="T48" s="20"/>
    </row>
    <row r="49" spans="1:20" x14ac:dyDescent="0.25">
      <c r="A49" s="24">
        <v>48</v>
      </c>
      <c r="B49" s="25" t="str">
        <f>Setup!B54</f>
        <v>Ghana</v>
      </c>
      <c r="C49" s="25" t="s">
        <v>513</v>
      </c>
      <c r="D49" s="25" t="s">
        <v>513</v>
      </c>
      <c r="E49" s="25" t="s">
        <v>513</v>
      </c>
      <c r="F49" s="25" t="s">
        <v>513</v>
      </c>
      <c r="G49" s="25" t="s">
        <v>1088</v>
      </c>
      <c r="H49" s="25" t="s">
        <v>513</v>
      </c>
      <c r="I49" s="25" t="str">
        <f>IF(Setup!C54&lt;&gt;"",Setup!C54,Setup!B54)</f>
        <v>Ghana</v>
      </c>
      <c r="T49" s="20"/>
    </row>
    <row r="50" spans="1:20" x14ac:dyDescent="0.25">
      <c r="A50" s="24">
        <v>49</v>
      </c>
      <c r="B50" s="25" t="str">
        <f>Setup!B55</f>
        <v>Panama</v>
      </c>
      <c r="C50" s="25" t="s">
        <v>514</v>
      </c>
      <c r="D50" s="25" t="s">
        <v>514</v>
      </c>
      <c r="E50" s="25" t="s">
        <v>514</v>
      </c>
      <c r="F50" s="25" t="s">
        <v>514</v>
      </c>
      <c r="G50" s="25" t="s">
        <v>1089</v>
      </c>
      <c r="H50" s="25" t="s">
        <v>1089</v>
      </c>
      <c r="I50" s="25" t="str">
        <f>IF(Setup!C55&lt;&gt;"",Setup!C55,Setup!B55)</f>
        <v>Panama</v>
      </c>
      <c r="T50" s="20"/>
    </row>
    <row r="51" spans="1:20" x14ac:dyDescent="0.25">
      <c r="A51" s="24">
        <v>50</v>
      </c>
      <c r="B51" s="25" t="str">
        <f>Setup!B56</f>
        <v>Language</v>
      </c>
      <c r="C51" s="24" t="s">
        <v>7</v>
      </c>
      <c r="D51" s="25" t="s">
        <v>114</v>
      </c>
      <c r="E51" s="25" t="s">
        <v>115</v>
      </c>
      <c r="F51" s="25" t="s">
        <v>116</v>
      </c>
      <c r="G51" s="25" t="s">
        <v>117</v>
      </c>
      <c r="H51" s="24" t="s">
        <v>117</v>
      </c>
      <c r="I51" s="25" t="str">
        <f>IF(Setup!C56&lt;&gt;"",Setup!C56,Setup!B56)</f>
        <v>Language</v>
      </c>
    </row>
    <row r="52" spans="1:20" x14ac:dyDescent="0.25">
      <c r="A52" s="24">
        <v>51</v>
      </c>
      <c r="B52" s="25" t="str">
        <f>Setup!B57</f>
        <v>Timezone</v>
      </c>
      <c r="C52" s="24" t="s">
        <v>8</v>
      </c>
      <c r="D52" s="25" t="s">
        <v>118</v>
      </c>
      <c r="E52" s="25" t="s">
        <v>119</v>
      </c>
      <c r="F52" s="25" t="s">
        <v>120</v>
      </c>
      <c r="G52" s="25" t="s">
        <v>121</v>
      </c>
      <c r="H52" s="24" t="s">
        <v>122</v>
      </c>
      <c r="I52" s="25" t="str">
        <f>IF(Setup!C57&lt;&gt;"",Setup!C57,Setup!B57)</f>
        <v>Timezone</v>
      </c>
    </row>
    <row r="53" spans="1:20" x14ac:dyDescent="0.25">
      <c r="A53" s="24">
        <v>52</v>
      </c>
      <c r="B53" s="25" t="str">
        <f>Setup!B58</f>
        <v>Group Stages</v>
      </c>
      <c r="C53" s="24" t="s">
        <v>9</v>
      </c>
      <c r="D53" s="25" t="s">
        <v>123</v>
      </c>
      <c r="E53" s="25" t="s">
        <v>124</v>
      </c>
      <c r="F53" s="25" t="s">
        <v>125</v>
      </c>
      <c r="G53" s="25" t="s">
        <v>126</v>
      </c>
      <c r="H53" s="24" t="s">
        <v>127</v>
      </c>
      <c r="I53" s="25" t="str">
        <f>IF(Setup!C58&lt;&gt;"",Setup!C58,Setup!B58)</f>
        <v>Group Stages</v>
      </c>
    </row>
    <row r="54" spans="1:20" x14ac:dyDescent="0.25">
      <c r="A54" s="24">
        <v>53</v>
      </c>
      <c r="B54" s="25" t="str">
        <f>Setup!B59</f>
        <v>Matches</v>
      </c>
      <c r="C54" s="24" t="s">
        <v>10</v>
      </c>
      <c r="D54" s="25" t="s">
        <v>128</v>
      </c>
      <c r="E54" s="25" t="s">
        <v>129</v>
      </c>
      <c r="F54" s="25" t="s">
        <v>130</v>
      </c>
      <c r="G54" s="25" t="s">
        <v>131</v>
      </c>
      <c r="H54" s="25" t="s">
        <v>132</v>
      </c>
      <c r="I54" s="25" t="str">
        <f>IF(Setup!C59&lt;&gt;"",Setup!C59,Setup!B59)</f>
        <v>Matches</v>
      </c>
    </row>
    <row r="55" spans="1:20" x14ac:dyDescent="0.25">
      <c r="A55" s="24">
        <v>54</v>
      </c>
      <c r="B55" s="25" t="str">
        <f>Setup!B60</f>
        <v>Standings</v>
      </c>
      <c r="C55" s="24" t="s">
        <v>11</v>
      </c>
      <c r="D55" s="25" t="s">
        <v>133</v>
      </c>
      <c r="E55" s="25" t="s">
        <v>134</v>
      </c>
      <c r="F55" s="25" t="s">
        <v>135</v>
      </c>
      <c r="G55" s="25" t="s">
        <v>136</v>
      </c>
      <c r="H55" s="24" t="s">
        <v>137</v>
      </c>
      <c r="I55" s="25" t="str">
        <f>IF(Setup!C60&lt;&gt;"",Setup!C60,Setup!B60)</f>
        <v>Standings</v>
      </c>
    </row>
    <row r="56" spans="1:20" x14ac:dyDescent="0.25">
      <c r="A56" s="24">
        <v>55</v>
      </c>
      <c r="B56" s="25" t="str">
        <f>Setup!B61</f>
        <v>Group</v>
      </c>
      <c r="C56" s="24" t="s">
        <v>12</v>
      </c>
      <c r="D56" s="25" t="s">
        <v>138</v>
      </c>
      <c r="E56" s="25" t="s">
        <v>139</v>
      </c>
      <c r="F56" s="25" t="s">
        <v>140</v>
      </c>
      <c r="G56" s="25" t="s">
        <v>141</v>
      </c>
      <c r="H56" s="24" t="s">
        <v>141</v>
      </c>
      <c r="I56" s="25" t="str">
        <f>IF(Setup!C61&lt;&gt;"",Setup!C61,Setup!B61)</f>
        <v>Group</v>
      </c>
    </row>
    <row r="57" spans="1:20" x14ac:dyDescent="0.25">
      <c r="A57" s="24">
        <v>56</v>
      </c>
      <c r="B57" s="25" t="str">
        <f>Setup!B62</f>
        <v>Date</v>
      </c>
      <c r="C57" s="24" t="s">
        <v>13</v>
      </c>
      <c r="D57" s="25" t="s">
        <v>13</v>
      </c>
      <c r="E57" s="25" t="s">
        <v>142</v>
      </c>
      <c r="F57" s="25" t="s">
        <v>143</v>
      </c>
      <c r="G57" s="25" t="s">
        <v>143</v>
      </c>
      <c r="H57" s="24" t="s">
        <v>144</v>
      </c>
      <c r="I57" s="25" t="str">
        <f>IF(Setup!C62&lt;&gt;"",Setup!C62,Setup!B62)</f>
        <v>Date</v>
      </c>
    </row>
    <row r="58" spans="1:20" x14ac:dyDescent="0.25">
      <c r="A58" s="24">
        <v>57</v>
      </c>
      <c r="B58" s="25" t="str">
        <f>Setup!B63</f>
        <v>Country</v>
      </c>
      <c r="C58" s="24" t="s">
        <v>14</v>
      </c>
      <c r="D58" s="25" t="s">
        <v>145</v>
      </c>
      <c r="E58" s="25" t="s">
        <v>146</v>
      </c>
      <c r="F58" s="25" t="s">
        <v>147</v>
      </c>
      <c r="G58" s="25" t="s">
        <v>148</v>
      </c>
      <c r="H58" s="24" t="s">
        <v>148</v>
      </c>
      <c r="I58" s="25" t="str">
        <f>IF(Setup!C63&lt;&gt;"",Setup!C63,Setup!B63)</f>
        <v>Country</v>
      </c>
    </row>
    <row r="59" spans="1:20" x14ac:dyDescent="0.25">
      <c r="A59" s="24">
        <v>58</v>
      </c>
      <c r="B59" s="25" t="str">
        <f>Setup!B64</f>
        <v>Score</v>
      </c>
      <c r="C59" s="24" t="s">
        <v>15</v>
      </c>
      <c r="D59" s="25" t="s">
        <v>15</v>
      </c>
      <c r="E59" s="25" t="s">
        <v>149</v>
      </c>
      <c r="F59" s="25" t="s">
        <v>150</v>
      </c>
      <c r="G59" s="25" t="s">
        <v>151</v>
      </c>
      <c r="H59" s="24" t="s">
        <v>151</v>
      </c>
      <c r="I59" s="25" t="str">
        <f>IF(Setup!C64&lt;&gt;"",Setup!C64,Setup!B64)</f>
        <v>Score</v>
      </c>
    </row>
    <row r="60" spans="1:20" x14ac:dyDescent="0.25">
      <c r="A60" s="24">
        <v>59</v>
      </c>
      <c r="B60" s="25" t="str">
        <f>Setup!B65</f>
        <v>Time</v>
      </c>
      <c r="C60" s="24" t="s">
        <v>16</v>
      </c>
      <c r="D60" s="25" t="s">
        <v>152</v>
      </c>
      <c r="E60" s="25" t="s">
        <v>153</v>
      </c>
      <c r="F60" s="25" t="s">
        <v>154</v>
      </c>
      <c r="G60" s="25" t="s">
        <v>155</v>
      </c>
      <c r="H60" s="24" t="s">
        <v>156</v>
      </c>
      <c r="I60" s="25" t="str">
        <f>IF(Setup!C65&lt;&gt;"",Setup!C65,Setup!B65)</f>
        <v>Time</v>
      </c>
    </row>
    <row r="61" spans="1:20" x14ac:dyDescent="0.25">
      <c r="A61" s="24">
        <v>60</v>
      </c>
      <c r="B61" s="25" t="str">
        <f>Setup!B66</f>
        <v>Round of 32</v>
      </c>
      <c r="C61" s="24" t="s">
        <v>536</v>
      </c>
      <c r="D61" s="25" t="s">
        <v>1110</v>
      </c>
      <c r="E61" s="25" t="s">
        <v>1114</v>
      </c>
      <c r="F61" s="25" t="s">
        <v>1113</v>
      </c>
      <c r="G61" s="25" t="s">
        <v>1112</v>
      </c>
      <c r="H61" s="24" t="s">
        <v>1111</v>
      </c>
      <c r="I61" s="25" t="str">
        <f>IF(Setup!C66&lt;&gt;"",Setup!C66,Setup!B66)</f>
        <v>Round of 32</v>
      </c>
    </row>
    <row r="62" spans="1:20" x14ac:dyDescent="0.25">
      <c r="A62" s="24">
        <v>61</v>
      </c>
      <c r="B62" s="25" t="str">
        <f>Setup!B67</f>
        <v>Round of 16</v>
      </c>
      <c r="C62" s="24" t="s">
        <v>17</v>
      </c>
      <c r="D62" s="25" t="s">
        <v>157</v>
      </c>
      <c r="E62" s="25" t="s">
        <v>158</v>
      </c>
      <c r="F62" s="25" t="s">
        <v>159</v>
      </c>
      <c r="G62" s="25" t="s">
        <v>160</v>
      </c>
      <c r="H62" s="24" t="s">
        <v>161</v>
      </c>
      <c r="I62" s="25" t="str">
        <f>IF(Setup!C67&lt;&gt;"",Setup!C67,Setup!B67)</f>
        <v>Round of 16</v>
      </c>
    </row>
    <row r="63" spans="1:20" x14ac:dyDescent="0.25">
      <c r="A63" s="24">
        <v>62</v>
      </c>
      <c r="B63" s="25" t="str">
        <f>Setup!B68</f>
        <v>Quarter Finals</v>
      </c>
      <c r="C63" s="24" t="s">
        <v>18</v>
      </c>
      <c r="D63" s="25" t="s">
        <v>162</v>
      </c>
      <c r="E63" s="25" t="s">
        <v>163</v>
      </c>
      <c r="F63" s="25" t="s">
        <v>164</v>
      </c>
      <c r="G63" s="25" t="s">
        <v>165</v>
      </c>
      <c r="H63" s="24" t="s">
        <v>166</v>
      </c>
      <c r="I63" s="25" t="str">
        <f>IF(Setup!C68&lt;&gt;"",Setup!C68,Setup!B68)</f>
        <v>Quarter Finals</v>
      </c>
    </row>
    <row r="64" spans="1:20" x14ac:dyDescent="0.25">
      <c r="A64" s="24">
        <v>63</v>
      </c>
      <c r="B64" s="25" t="str">
        <f>Setup!B69</f>
        <v>Semi Finals</v>
      </c>
      <c r="C64" s="24" t="s">
        <v>19</v>
      </c>
      <c r="D64" s="25" t="s">
        <v>167</v>
      </c>
      <c r="E64" s="25" t="s">
        <v>168</v>
      </c>
      <c r="F64" s="25" t="s">
        <v>169</v>
      </c>
      <c r="G64" s="25" t="s">
        <v>170</v>
      </c>
      <c r="H64" s="24" t="s">
        <v>171</v>
      </c>
      <c r="I64" s="25" t="str">
        <f>IF(Setup!C69&lt;&gt;"",Setup!C69,Setup!B69)</f>
        <v>Semi Finals</v>
      </c>
    </row>
    <row r="65" spans="1:9" x14ac:dyDescent="0.25">
      <c r="A65" s="24">
        <v>64</v>
      </c>
      <c r="B65" s="25" t="str">
        <f>Setup!B70</f>
        <v>Third Place</v>
      </c>
      <c r="C65" s="24" t="s">
        <v>20</v>
      </c>
      <c r="D65" s="25" t="s">
        <v>968</v>
      </c>
      <c r="E65" s="25" t="s">
        <v>1118</v>
      </c>
      <c r="F65" s="25" t="s">
        <v>1117</v>
      </c>
      <c r="G65" s="25" t="s">
        <v>1116</v>
      </c>
      <c r="H65" s="24" t="s">
        <v>1115</v>
      </c>
      <c r="I65" s="25" t="str">
        <f>IF(Setup!C70&lt;&gt;"",Setup!C70,Setup!B70)</f>
        <v>Third Place</v>
      </c>
    </row>
    <row r="66" spans="1:9" x14ac:dyDescent="0.25">
      <c r="A66" s="24">
        <v>65</v>
      </c>
      <c r="B66" s="25" t="str">
        <f>Setup!B71</f>
        <v>Final</v>
      </c>
      <c r="C66" s="24" t="s">
        <v>21</v>
      </c>
      <c r="D66" s="25" t="s">
        <v>172</v>
      </c>
      <c r="E66" s="25" t="s">
        <v>172</v>
      </c>
      <c r="F66" s="25" t="s">
        <v>172</v>
      </c>
      <c r="G66" s="25" t="s">
        <v>21</v>
      </c>
      <c r="H66" s="24" t="s">
        <v>21</v>
      </c>
      <c r="I66" s="25" t="str">
        <f>IF(Setup!C71&lt;&gt;"",Setup!C71,Setup!B71)</f>
        <v>Final</v>
      </c>
    </row>
    <row r="67" spans="1:9" x14ac:dyDescent="0.25">
      <c r="A67" s="24">
        <v>66</v>
      </c>
      <c r="B67" s="25" t="str">
        <f>Setup!B72</f>
        <v>Winner</v>
      </c>
      <c r="C67" s="24" t="s">
        <v>22</v>
      </c>
      <c r="D67" s="25" t="s">
        <v>173</v>
      </c>
      <c r="E67" s="25" t="s">
        <v>174</v>
      </c>
      <c r="F67" s="25" t="s">
        <v>175</v>
      </c>
      <c r="G67" s="25" t="s">
        <v>176</v>
      </c>
      <c r="H67" s="24" t="s">
        <v>177</v>
      </c>
      <c r="I67" s="25" t="str">
        <f>IF(Setup!C72&lt;&gt;"",Setup!C72,Setup!B72)</f>
        <v>Winner</v>
      </c>
    </row>
    <row r="68" spans="1:9" x14ac:dyDescent="0.25">
      <c r="A68" s="24">
        <v>67</v>
      </c>
      <c r="B68" s="25" t="str">
        <f>Setup!B73</f>
        <v>Runner Up</v>
      </c>
      <c r="C68" s="24" t="s">
        <v>23</v>
      </c>
      <c r="D68" s="25" t="s">
        <v>178</v>
      </c>
      <c r="E68" s="25" t="s">
        <v>179</v>
      </c>
      <c r="F68" s="25" t="s">
        <v>180</v>
      </c>
      <c r="G68" s="25" t="s">
        <v>181</v>
      </c>
      <c r="H68" s="24" t="s">
        <v>182</v>
      </c>
      <c r="I68" s="25" t="str">
        <f>IF(Setup!C73&lt;&gt;"",Setup!C73,Setup!B73)</f>
        <v>Runner Up</v>
      </c>
    </row>
    <row r="69" spans="1:9" x14ac:dyDescent="0.25">
      <c r="A69" s="24">
        <v>68</v>
      </c>
      <c r="B69" s="25" t="str">
        <f>Setup!B74</f>
        <v>Normal Time</v>
      </c>
      <c r="C69" s="24" t="s">
        <v>24</v>
      </c>
      <c r="D69" s="25" t="s">
        <v>183</v>
      </c>
      <c r="E69" s="25" t="s">
        <v>184</v>
      </c>
      <c r="F69" s="25" t="s">
        <v>185</v>
      </c>
      <c r="G69" s="25" t="s">
        <v>186</v>
      </c>
      <c r="H69" s="24" t="s">
        <v>187</v>
      </c>
      <c r="I69" s="25" t="str">
        <f>IF(Setup!C74&lt;&gt;"",Setup!C74,Setup!B74)</f>
        <v>Normal Time</v>
      </c>
    </row>
    <row r="70" spans="1:9" x14ac:dyDescent="0.25">
      <c r="A70" s="24">
        <v>69</v>
      </c>
      <c r="B70" s="25" t="str">
        <f>Setup!B75</f>
        <v>Knock Out Rounds</v>
      </c>
      <c r="C70" s="25" t="s">
        <v>416</v>
      </c>
      <c r="D70" s="25" t="s">
        <v>1119</v>
      </c>
      <c r="E70" s="25" t="s">
        <v>1123</v>
      </c>
      <c r="F70" s="25" t="s">
        <v>1122</v>
      </c>
      <c r="G70" s="25" t="s">
        <v>1121</v>
      </c>
      <c r="H70" s="24" t="s">
        <v>1120</v>
      </c>
      <c r="I70" s="25" t="str">
        <f>IF(Setup!C75&lt;&gt;"",Setup!C75,Setup!B75)</f>
        <v>Knock Out Rounds</v>
      </c>
    </row>
    <row r="71" spans="1:9" x14ac:dyDescent="0.25">
      <c r="A71" s="24">
        <v>70</v>
      </c>
      <c r="B71" s="25" t="str">
        <f>Setup!B76</f>
        <v>Penalty Shoot Out</v>
      </c>
      <c r="C71" s="24" t="s">
        <v>25</v>
      </c>
      <c r="D71" s="25" t="s">
        <v>188</v>
      </c>
      <c r="E71" s="25" t="s">
        <v>189</v>
      </c>
      <c r="F71" s="25" t="s">
        <v>190</v>
      </c>
      <c r="G71" s="25" t="s">
        <v>191</v>
      </c>
      <c r="H71" s="24" t="s">
        <v>192</v>
      </c>
      <c r="I71" s="25" t="str">
        <f>IF(Setup!C76&lt;&gt;"",Setup!C76,Setup!B76)</f>
        <v>Penalty Shoot Out</v>
      </c>
    </row>
    <row r="72" spans="1:9" x14ac:dyDescent="0.25">
      <c r="A72" s="24">
        <v>71</v>
      </c>
      <c r="B72" s="25" t="str">
        <f>Setup!B77</f>
        <v>Champion</v>
      </c>
      <c r="C72" s="24" t="s">
        <v>26</v>
      </c>
      <c r="D72" s="25" t="s">
        <v>26</v>
      </c>
      <c r="E72" s="25" t="s">
        <v>193</v>
      </c>
      <c r="F72" s="25" t="s">
        <v>194</v>
      </c>
      <c r="G72" s="25" t="s">
        <v>195</v>
      </c>
      <c r="H72" s="24" t="s">
        <v>196</v>
      </c>
      <c r="I72" s="25" t="str">
        <f>IF(Setup!C77&lt;&gt;"",Setup!C77,Setup!B77)</f>
        <v>Champion</v>
      </c>
    </row>
    <row r="73" spans="1:9" x14ac:dyDescent="0.25">
      <c r="A73" s="24">
        <v>72</v>
      </c>
      <c r="B73" s="25" t="str">
        <f>Setup!B78</f>
        <v>Match #</v>
      </c>
      <c r="C73" s="24" t="s">
        <v>27</v>
      </c>
      <c r="D73" s="25" t="s">
        <v>27</v>
      </c>
      <c r="E73" s="25" t="s">
        <v>197</v>
      </c>
      <c r="F73" s="25" t="s">
        <v>198</v>
      </c>
      <c r="G73" s="25" t="s">
        <v>199</v>
      </c>
      <c r="H73" s="24" t="s">
        <v>200</v>
      </c>
      <c r="I73" s="25" t="str">
        <f>IF(Setup!C78&lt;&gt;"",Setup!C78,Setup!B78)</f>
        <v>Match #</v>
      </c>
    </row>
    <row r="74" spans="1:9" x14ac:dyDescent="0.25">
      <c r="A74" s="24">
        <v>73</v>
      </c>
      <c r="B74" s="25" t="str">
        <f>Setup!B79</f>
        <v>Group A Winner</v>
      </c>
      <c r="C74" s="24" t="s">
        <v>28</v>
      </c>
      <c r="D74" s="25" t="s">
        <v>201</v>
      </c>
      <c r="E74" s="25" t="s">
        <v>202</v>
      </c>
      <c r="F74" s="25" t="s">
        <v>203</v>
      </c>
      <c r="G74" s="25" t="s">
        <v>204</v>
      </c>
      <c r="H74" s="24" t="s">
        <v>205</v>
      </c>
      <c r="I74" s="25" t="str">
        <f>IF(Setup!C79&lt;&gt;"",Setup!C79,Setup!B79)</f>
        <v>Group A Winner</v>
      </c>
    </row>
    <row r="75" spans="1:9" x14ac:dyDescent="0.25">
      <c r="A75" s="24">
        <v>74</v>
      </c>
      <c r="B75" s="25" t="str">
        <f>Setup!B80</f>
        <v>Group B Winner</v>
      </c>
      <c r="C75" s="24" t="s">
        <v>29</v>
      </c>
      <c r="D75" s="25" t="s">
        <v>206</v>
      </c>
      <c r="E75" s="25" t="s">
        <v>207</v>
      </c>
      <c r="F75" s="25" t="s">
        <v>208</v>
      </c>
      <c r="G75" s="25" t="s">
        <v>209</v>
      </c>
      <c r="H75" s="24" t="s">
        <v>210</v>
      </c>
      <c r="I75" s="25" t="str">
        <f>IF(Setup!C80&lt;&gt;"",Setup!C80,Setup!B80)</f>
        <v>Group B Winner</v>
      </c>
    </row>
    <row r="76" spans="1:9" x14ac:dyDescent="0.25">
      <c r="A76" s="24">
        <v>75</v>
      </c>
      <c r="B76" s="25" t="str">
        <f>Setup!B81</f>
        <v>Group C Winner</v>
      </c>
      <c r="C76" s="24" t="s">
        <v>30</v>
      </c>
      <c r="D76" s="25" t="s">
        <v>211</v>
      </c>
      <c r="E76" s="25" t="s">
        <v>212</v>
      </c>
      <c r="F76" s="25" t="s">
        <v>213</v>
      </c>
      <c r="G76" s="25" t="s">
        <v>214</v>
      </c>
      <c r="H76" s="24" t="s">
        <v>215</v>
      </c>
      <c r="I76" s="25" t="str">
        <f>IF(Setup!C81&lt;&gt;"",Setup!C81,Setup!B81)</f>
        <v>Group C Winner</v>
      </c>
    </row>
    <row r="77" spans="1:9" x14ac:dyDescent="0.25">
      <c r="A77" s="24">
        <v>76</v>
      </c>
      <c r="B77" s="25" t="str">
        <f>Setup!B82</f>
        <v>Group D Winner</v>
      </c>
      <c r="C77" s="24" t="s">
        <v>31</v>
      </c>
      <c r="D77" s="25" t="s">
        <v>216</v>
      </c>
      <c r="E77" s="25" t="s">
        <v>217</v>
      </c>
      <c r="F77" s="25" t="s">
        <v>218</v>
      </c>
      <c r="G77" s="25" t="s">
        <v>219</v>
      </c>
      <c r="H77" s="24" t="s">
        <v>220</v>
      </c>
      <c r="I77" s="25" t="str">
        <f>IF(Setup!C82&lt;&gt;"",Setup!C82,Setup!B82)</f>
        <v>Group D Winner</v>
      </c>
    </row>
    <row r="78" spans="1:9" x14ac:dyDescent="0.25">
      <c r="A78" s="24">
        <v>77</v>
      </c>
      <c r="B78" s="25" t="str">
        <f>Setup!B83</f>
        <v>Group E Winner</v>
      </c>
      <c r="C78" s="24" t="s">
        <v>32</v>
      </c>
      <c r="D78" s="25" t="s">
        <v>221</v>
      </c>
      <c r="E78" s="25" t="s">
        <v>222</v>
      </c>
      <c r="F78" s="25" t="s">
        <v>223</v>
      </c>
      <c r="G78" s="25" t="s">
        <v>224</v>
      </c>
      <c r="H78" s="24" t="s">
        <v>225</v>
      </c>
      <c r="I78" s="25" t="str">
        <f>IF(Setup!C83&lt;&gt;"",Setup!C83,Setup!B83)</f>
        <v>Group E Winner</v>
      </c>
    </row>
    <row r="79" spans="1:9" x14ac:dyDescent="0.25">
      <c r="A79" s="24">
        <v>78</v>
      </c>
      <c r="B79" s="25" t="str">
        <f>Setup!B84</f>
        <v>Group F Winner</v>
      </c>
      <c r="C79" s="24" t="s">
        <v>33</v>
      </c>
      <c r="D79" s="25" t="s">
        <v>226</v>
      </c>
      <c r="E79" s="25" t="s">
        <v>227</v>
      </c>
      <c r="F79" s="25" t="s">
        <v>228</v>
      </c>
      <c r="G79" s="25" t="s">
        <v>229</v>
      </c>
      <c r="H79" s="24" t="s">
        <v>230</v>
      </c>
      <c r="I79" s="25" t="str">
        <f>IF(Setup!C84&lt;&gt;"",Setup!C84,Setup!B84)</f>
        <v>Group F Winner</v>
      </c>
    </row>
    <row r="80" spans="1:9" x14ac:dyDescent="0.25">
      <c r="A80" s="24">
        <v>79</v>
      </c>
      <c r="B80" s="25" t="str">
        <f>Setup!B85</f>
        <v>Group G Winner</v>
      </c>
      <c r="C80" s="24" t="s">
        <v>34</v>
      </c>
      <c r="D80" s="25" t="s">
        <v>231</v>
      </c>
      <c r="E80" s="25" t="s">
        <v>232</v>
      </c>
      <c r="F80" s="25" t="s">
        <v>233</v>
      </c>
      <c r="G80" s="25" t="s">
        <v>234</v>
      </c>
      <c r="H80" s="24" t="s">
        <v>235</v>
      </c>
      <c r="I80" s="25" t="str">
        <f>IF(Setup!C85&lt;&gt;"",Setup!C85,Setup!B85)</f>
        <v>Group G Winner</v>
      </c>
    </row>
    <row r="81" spans="1:9" x14ac:dyDescent="0.25">
      <c r="A81" s="24">
        <v>80</v>
      </c>
      <c r="B81" s="25" t="str">
        <f>Setup!B86</f>
        <v>Group H Winner</v>
      </c>
      <c r="C81" s="24" t="s">
        <v>35</v>
      </c>
      <c r="D81" s="25" t="s">
        <v>236</v>
      </c>
      <c r="E81" s="25" t="s">
        <v>237</v>
      </c>
      <c r="F81" s="25" t="s">
        <v>238</v>
      </c>
      <c r="G81" s="25" t="s">
        <v>239</v>
      </c>
      <c r="H81" s="24" t="s">
        <v>240</v>
      </c>
      <c r="I81" s="25" t="str">
        <f>IF(Setup!C86&lt;&gt;"",Setup!C86,Setup!B86)</f>
        <v>Group H Winner</v>
      </c>
    </row>
    <row r="82" spans="1:9" x14ac:dyDescent="0.25">
      <c r="A82" s="24">
        <v>81</v>
      </c>
      <c r="B82" s="25" t="str">
        <f>Setup!B87</f>
        <v>Group I Winner</v>
      </c>
      <c r="C82" s="24" t="s">
        <v>537</v>
      </c>
      <c r="D82" s="25" t="s">
        <v>948</v>
      </c>
      <c r="E82" s="25" t="s">
        <v>952</v>
      </c>
      <c r="F82" s="25" t="s">
        <v>956</v>
      </c>
      <c r="G82" s="25" t="s">
        <v>960</v>
      </c>
      <c r="H82" s="24" t="s">
        <v>964</v>
      </c>
      <c r="I82" s="25" t="str">
        <f>IF(Setup!C87&lt;&gt;"",Setup!C87,Setup!B87)</f>
        <v>Group I Winner</v>
      </c>
    </row>
    <row r="83" spans="1:9" x14ac:dyDescent="0.25">
      <c r="A83" s="24">
        <v>82</v>
      </c>
      <c r="B83" s="25" t="str">
        <f>Setup!B88</f>
        <v>Group J Winner</v>
      </c>
      <c r="C83" s="24" t="s">
        <v>538</v>
      </c>
      <c r="D83" s="25" t="s">
        <v>949</v>
      </c>
      <c r="E83" s="25" t="s">
        <v>953</v>
      </c>
      <c r="F83" s="25" t="s">
        <v>957</v>
      </c>
      <c r="G83" s="25" t="s">
        <v>961</v>
      </c>
      <c r="H83" s="24" t="s">
        <v>965</v>
      </c>
      <c r="I83" s="25" t="str">
        <f>IF(Setup!C88&lt;&gt;"",Setup!C88,Setup!B88)</f>
        <v>Group J Winner</v>
      </c>
    </row>
    <row r="84" spans="1:9" x14ac:dyDescent="0.25">
      <c r="A84" s="24">
        <v>83</v>
      </c>
      <c r="B84" s="25" t="str">
        <f>Setup!B89</f>
        <v>Group K Winner</v>
      </c>
      <c r="C84" s="24" t="s">
        <v>539</v>
      </c>
      <c r="D84" s="25" t="s">
        <v>950</v>
      </c>
      <c r="E84" s="25" t="s">
        <v>954</v>
      </c>
      <c r="F84" s="25" t="s">
        <v>958</v>
      </c>
      <c r="G84" s="25" t="s">
        <v>962</v>
      </c>
      <c r="H84" s="24" t="s">
        <v>966</v>
      </c>
      <c r="I84" s="25" t="str">
        <f>IF(Setup!C89&lt;&gt;"",Setup!C89,Setup!B89)</f>
        <v>Group K Winner</v>
      </c>
    </row>
    <row r="85" spans="1:9" x14ac:dyDescent="0.25">
      <c r="A85" s="24">
        <v>84</v>
      </c>
      <c r="B85" s="25" t="str">
        <f>Setup!B90</f>
        <v>Group L Winner</v>
      </c>
      <c r="C85" s="24" t="s">
        <v>540</v>
      </c>
      <c r="D85" s="25" t="s">
        <v>951</v>
      </c>
      <c r="E85" s="25" t="s">
        <v>955</v>
      </c>
      <c r="F85" s="25" t="s">
        <v>959</v>
      </c>
      <c r="G85" s="25" t="s">
        <v>963</v>
      </c>
      <c r="H85" s="24" t="s">
        <v>967</v>
      </c>
      <c r="I85" s="25" t="str">
        <f>IF(Setup!C90&lt;&gt;"",Setup!C90,Setup!B90)</f>
        <v>Group L Winner</v>
      </c>
    </row>
    <row r="86" spans="1:9" x14ac:dyDescent="0.25">
      <c r="A86" s="24">
        <v>85</v>
      </c>
      <c r="B86" s="25" t="str">
        <f>Setup!B91</f>
        <v>Group A Runner Up</v>
      </c>
      <c r="C86" s="24" t="s">
        <v>36</v>
      </c>
      <c r="D86" s="25" t="s">
        <v>241</v>
      </c>
      <c r="E86" s="25" t="s">
        <v>242</v>
      </c>
      <c r="F86" s="25" t="s">
        <v>243</v>
      </c>
      <c r="G86" s="25" t="s">
        <v>244</v>
      </c>
      <c r="H86" s="24" t="s">
        <v>245</v>
      </c>
      <c r="I86" s="25" t="str">
        <f>IF(Setup!C91&lt;&gt;"",Setup!C91,Setup!B91)</f>
        <v>Group A Runner Up</v>
      </c>
    </row>
    <row r="87" spans="1:9" x14ac:dyDescent="0.25">
      <c r="A87" s="24">
        <v>86</v>
      </c>
      <c r="B87" s="25" t="str">
        <f>Setup!B92</f>
        <v>Group B Runner Up</v>
      </c>
      <c r="C87" s="24" t="s">
        <v>37</v>
      </c>
      <c r="D87" s="25" t="s">
        <v>246</v>
      </c>
      <c r="E87" s="25" t="s">
        <v>247</v>
      </c>
      <c r="F87" s="25" t="s">
        <v>248</v>
      </c>
      <c r="G87" s="25" t="s">
        <v>249</v>
      </c>
      <c r="H87" s="24" t="s">
        <v>250</v>
      </c>
      <c r="I87" s="25" t="str">
        <f>IF(Setup!C92&lt;&gt;"",Setup!C92,Setup!B92)</f>
        <v>Group B Runner Up</v>
      </c>
    </row>
    <row r="88" spans="1:9" x14ac:dyDescent="0.25">
      <c r="A88" s="24">
        <v>87</v>
      </c>
      <c r="B88" s="25" t="str">
        <f>Setup!B93</f>
        <v>Group C Runner Up</v>
      </c>
      <c r="C88" s="24" t="s">
        <v>38</v>
      </c>
      <c r="D88" s="25" t="s">
        <v>251</v>
      </c>
      <c r="E88" s="25" t="s">
        <v>252</v>
      </c>
      <c r="F88" s="25" t="s">
        <v>253</v>
      </c>
      <c r="G88" s="25" t="s">
        <v>254</v>
      </c>
      <c r="H88" s="24" t="s">
        <v>255</v>
      </c>
      <c r="I88" s="25" t="str">
        <f>IF(Setup!C93&lt;&gt;"",Setup!C93,Setup!B93)</f>
        <v>Group C Runner Up</v>
      </c>
    </row>
    <row r="89" spans="1:9" x14ac:dyDescent="0.25">
      <c r="A89" s="24">
        <v>88</v>
      </c>
      <c r="B89" s="25" t="str">
        <f>Setup!B94</f>
        <v>Group D Runner Up</v>
      </c>
      <c r="C89" s="24" t="s">
        <v>39</v>
      </c>
      <c r="D89" s="25" t="s">
        <v>256</v>
      </c>
      <c r="E89" s="25" t="s">
        <v>257</v>
      </c>
      <c r="F89" s="25" t="s">
        <v>258</v>
      </c>
      <c r="G89" s="25" t="s">
        <v>259</v>
      </c>
      <c r="H89" s="24" t="s">
        <v>260</v>
      </c>
      <c r="I89" s="25" t="str">
        <f>IF(Setup!C94&lt;&gt;"",Setup!C94,Setup!B94)</f>
        <v>Group D Runner Up</v>
      </c>
    </row>
    <row r="90" spans="1:9" x14ac:dyDescent="0.25">
      <c r="A90" s="24">
        <v>89</v>
      </c>
      <c r="B90" s="25" t="str">
        <f>Setup!B95</f>
        <v>Group E Runner Up</v>
      </c>
      <c r="C90" s="24" t="s">
        <v>40</v>
      </c>
      <c r="D90" s="25" t="s">
        <v>261</v>
      </c>
      <c r="E90" s="25" t="s">
        <v>262</v>
      </c>
      <c r="F90" s="25" t="s">
        <v>263</v>
      </c>
      <c r="G90" s="25" t="s">
        <v>264</v>
      </c>
      <c r="H90" s="24" t="s">
        <v>265</v>
      </c>
      <c r="I90" s="25" t="str">
        <f>IF(Setup!C95&lt;&gt;"",Setup!C95,Setup!B95)</f>
        <v>Group E Runner Up</v>
      </c>
    </row>
    <row r="91" spans="1:9" x14ac:dyDescent="0.25">
      <c r="A91" s="24">
        <v>90</v>
      </c>
      <c r="B91" s="25" t="str">
        <f>Setup!B96</f>
        <v>Group F Runner Up</v>
      </c>
      <c r="C91" s="24" t="s">
        <v>41</v>
      </c>
      <c r="D91" s="25" t="s">
        <v>266</v>
      </c>
      <c r="E91" s="25" t="s">
        <v>267</v>
      </c>
      <c r="F91" s="25" t="s">
        <v>268</v>
      </c>
      <c r="G91" s="25" t="s">
        <v>269</v>
      </c>
      <c r="H91" s="24" t="s">
        <v>270</v>
      </c>
      <c r="I91" s="25" t="str">
        <f>IF(Setup!C96&lt;&gt;"",Setup!C96,Setup!B96)</f>
        <v>Group F Runner Up</v>
      </c>
    </row>
    <row r="92" spans="1:9" x14ac:dyDescent="0.25">
      <c r="A92" s="24">
        <v>91</v>
      </c>
      <c r="B92" s="25" t="str">
        <f>Setup!B97</f>
        <v>Group G Runner Up</v>
      </c>
      <c r="C92" s="24" t="s">
        <v>42</v>
      </c>
      <c r="D92" s="25" t="s">
        <v>271</v>
      </c>
      <c r="E92" s="25" t="s">
        <v>272</v>
      </c>
      <c r="F92" s="25" t="s">
        <v>273</v>
      </c>
      <c r="G92" s="25" t="s">
        <v>274</v>
      </c>
      <c r="H92" s="24" t="s">
        <v>275</v>
      </c>
      <c r="I92" s="25" t="str">
        <f>IF(Setup!C97&lt;&gt;"",Setup!C97,Setup!B97)</f>
        <v>Group G Runner Up</v>
      </c>
    </row>
    <row r="93" spans="1:9" x14ac:dyDescent="0.25">
      <c r="A93" s="24">
        <v>92</v>
      </c>
      <c r="B93" s="25" t="str">
        <f>Setup!B98</f>
        <v>Group H Runner Up</v>
      </c>
      <c r="C93" s="24" t="s">
        <v>43</v>
      </c>
      <c r="D93" s="25" t="s">
        <v>276</v>
      </c>
      <c r="E93" s="25" t="s">
        <v>277</v>
      </c>
      <c r="F93" s="25" t="s">
        <v>278</v>
      </c>
      <c r="G93" s="25" t="s">
        <v>279</v>
      </c>
      <c r="H93" s="24" t="s">
        <v>280</v>
      </c>
      <c r="I93" s="25" t="str">
        <f>IF(Setup!C98&lt;&gt;"",Setup!C98,Setup!B98)</f>
        <v>Group H Runner Up</v>
      </c>
    </row>
    <row r="94" spans="1:9" x14ac:dyDescent="0.25">
      <c r="A94" s="24">
        <v>93</v>
      </c>
      <c r="B94" s="25" t="str">
        <f>Setup!B99</f>
        <v>Group I Runner Up</v>
      </c>
      <c r="C94" s="24" t="s">
        <v>541</v>
      </c>
      <c r="D94" s="25" t="s">
        <v>881</v>
      </c>
      <c r="E94" s="25" t="s">
        <v>882</v>
      </c>
      <c r="F94" s="25" t="s">
        <v>886</v>
      </c>
      <c r="G94" s="25" t="s">
        <v>890</v>
      </c>
      <c r="H94" s="24" t="s">
        <v>894</v>
      </c>
      <c r="I94" s="25" t="str">
        <f>IF(Setup!C99&lt;&gt;"",Setup!C99,Setup!B99)</f>
        <v>Group I Runner Up</v>
      </c>
    </row>
    <row r="95" spans="1:9" x14ac:dyDescent="0.25">
      <c r="A95" s="24">
        <v>94</v>
      </c>
      <c r="B95" s="25" t="str">
        <f>Setup!B100</f>
        <v>Group J Runner Up</v>
      </c>
      <c r="C95" s="24" t="s">
        <v>542</v>
      </c>
      <c r="D95" s="25" t="s">
        <v>878</v>
      </c>
      <c r="E95" s="25" t="s">
        <v>883</v>
      </c>
      <c r="F95" s="25" t="s">
        <v>887</v>
      </c>
      <c r="G95" s="25" t="s">
        <v>891</v>
      </c>
      <c r="H95" s="24" t="s">
        <v>895</v>
      </c>
      <c r="I95" s="25" t="str">
        <f>IF(Setup!C100&lt;&gt;"",Setup!C100,Setup!B100)</f>
        <v>Group J Runner Up</v>
      </c>
    </row>
    <row r="96" spans="1:9" x14ac:dyDescent="0.25">
      <c r="A96" s="24">
        <v>95</v>
      </c>
      <c r="B96" s="25" t="str">
        <f>Setup!B101</f>
        <v>Group K Runner Up</v>
      </c>
      <c r="C96" s="24" t="s">
        <v>543</v>
      </c>
      <c r="D96" s="25" t="s">
        <v>879</v>
      </c>
      <c r="E96" s="25" t="s">
        <v>884</v>
      </c>
      <c r="F96" s="25" t="s">
        <v>888</v>
      </c>
      <c r="G96" s="25" t="s">
        <v>892</v>
      </c>
      <c r="H96" s="24" t="s">
        <v>896</v>
      </c>
      <c r="I96" s="25" t="str">
        <f>IF(Setup!C101&lt;&gt;"",Setup!C101,Setup!B101)</f>
        <v>Group K Runner Up</v>
      </c>
    </row>
    <row r="97" spans="1:9" x14ac:dyDescent="0.25">
      <c r="A97" s="24">
        <v>96</v>
      </c>
      <c r="B97" s="25" t="str">
        <f>Setup!B102</f>
        <v>Group L Runner Up</v>
      </c>
      <c r="C97" s="24" t="s">
        <v>544</v>
      </c>
      <c r="D97" s="25" t="s">
        <v>880</v>
      </c>
      <c r="E97" s="25" t="s">
        <v>885</v>
      </c>
      <c r="F97" s="25" t="s">
        <v>889</v>
      </c>
      <c r="G97" s="25" t="s">
        <v>893</v>
      </c>
      <c r="H97" s="24" t="s">
        <v>897</v>
      </c>
      <c r="I97" s="25" t="str">
        <f>IF(Setup!C102&lt;&gt;"",Setup!C102,Setup!B102)</f>
        <v>Group L Runner Up</v>
      </c>
    </row>
    <row r="98" spans="1:9" x14ac:dyDescent="0.25">
      <c r="A98" s="24">
        <v>97</v>
      </c>
      <c r="B98" s="25" t="str">
        <f>Setup!B103</f>
        <v>3rd Group A/B/C/D/F</v>
      </c>
      <c r="C98" s="25" t="s">
        <v>556</v>
      </c>
      <c r="D98" s="25" t="s">
        <v>898</v>
      </c>
      <c r="E98" s="25" t="s">
        <v>906</v>
      </c>
      <c r="F98" s="25" t="s">
        <v>914</v>
      </c>
      <c r="G98" s="25" t="s">
        <v>922</v>
      </c>
      <c r="H98" s="25" t="s">
        <v>930</v>
      </c>
      <c r="I98" s="25" t="str">
        <f>IF(Setup!C103&lt;&gt;"",Setup!C103,Setup!B103)</f>
        <v>3rd Group A/B/C/D/F</v>
      </c>
    </row>
    <row r="99" spans="1:9" x14ac:dyDescent="0.25">
      <c r="A99" s="24">
        <v>98</v>
      </c>
      <c r="B99" s="25" t="str">
        <f>Setup!B104</f>
        <v>3rd Group A/E/H/I/J</v>
      </c>
      <c r="C99" s="25" t="s">
        <v>561</v>
      </c>
      <c r="D99" s="25" t="s">
        <v>899</v>
      </c>
      <c r="E99" s="25" t="s">
        <v>907</v>
      </c>
      <c r="F99" s="25" t="s">
        <v>915</v>
      </c>
      <c r="G99" s="25" t="s">
        <v>923</v>
      </c>
      <c r="H99" s="24" t="s">
        <v>931</v>
      </c>
      <c r="I99" s="25" t="str">
        <f>IF(Setup!C104&lt;&gt;"",Setup!C104,Setup!B104)</f>
        <v>3rd Group A/E/H/I/J</v>
      </c>
    </row>
    <row r="100" spans="1:9" x14ac:dyDescent="0.25">
      <c r="A100" s="24">
        <v>99</v>
      </c>
      <c r="B100" s="25" t="str">
        <f>Setup!B105</f>
        <v>3rd Group B/E/F/I/J</v>
      </c>
      <c r="C100" s="25" t="s">
        <v>560</v>
      </c>
      <c r="D100" s="25" t="s">
        <v>900</v>
      </c>
      <c r="E100" s="25" t="s">
        <v>908</v>
      </c>
      <c r="F100" s="25" t="s">
        <v>916</v>
      </c>
      <c r="G100" s="25" t="s">
        <v>924</v>
      </c>
      <c r="H100" s="24" t="s">
        <v>932</v>
      </c>
      <c r="I100" s="25" t="str">
        <f>IF(Setup!C105&lt;&gt;"",Setup!C105,Setup!B105)</f>
        <v>3rd Group B/E/F/I/J</v>
      </c>
    </row>
    <row r="101" spans="1:9" x14ac:dyDescent="0.25">
      <c r="A101" s="24">
        <v>100</v>
      </c>
      <c r="B101" s="25" t="str">
        <f>Setup!B106</f>
        <v>3rd Group C/D/F/G/H</v>
      </c>
      <c r="C101" s="25" t="s">
        <v>557</v>
      </c>
      <c r="D101" s="25" t="s">
        <v>901</v>
      </c>
      <c r="E101" s="25" t="s">
        <v>909</v>
      </c>
      <c r="F101" s="25" t="s">
        <v>917</v>
      </c>
      <c r="G101" s="25" t="s">
        <v>925</v>
      </c>
      <c r="H101" s="24" t="s">
        <v>933</v>
      </c>
      <c r="I101" s="25" t="str">
        <f>IF(Setup!C106&lt;&gt;"",Setup!C106,Setup!B106)</f>
        <v>3rd Group C/D/F/G/H</v>
      </c>
    </row>
    <row r="102" spans="1:9" x14ac:dyDescent="0.25">
      <c r="A102" s="24">
        <v>101</v>
      </c>
      <c r="B102" s="25" t="str">
        <f>Setup!B107</f>
        <v>3rd Group C/E/F/H/I</v>
      </c>
      <c r="C102" s="25" t="s">
        <v>558</v>
      </c>
      <c r="D102" s="25" t="s">
        <v>902</v>
      </c>
      <c r="E102" s="25" t="s">
        <v>910</v>
      </c>
      <c r="F102" s="25" t="s">
        <v>918</v>
      </c>
      <c r="G102" s="25" t="s">
        <v>926</v>
      </c>
      <c r="H102" s="24" t="s">
        <v>934</v>
      </c>
      <c r="I102" s="25" t="str">
        <f>IF(Setup!C107&lt;&gt;"",Setup!C107,Setup!B107)</f>
        <v>3rd Group C/E/F/H/I</v>
      </c>
    </row>
    <row r="103" spans="1:9" x14ac:dyDescent="0.25">
      <c r="A103" s="24">
        <v>102</v>
      </c>
      <c r="B103" s="25" t="str">
        <f>Setup!B108</f>
        <v>3rd Group D/E/I/J/L</v>
      </c>
      <c r="C103" s="25" t="s">
        <v>563</v>
      </c>
      <c r="D103" s="25" t="s">
        <v>903</v>
      </c>
      <c r="E103" s="25" t="s">
        <v>911</v>
      </c>
      <c r="F103" s="25" t="s">
        <v>919</v>
      </c>
      <c r="G103" s="25" t="s">
        <v>927</v>
      </c>
      <c r="H103" s="24" t="s">
        <v>935</v>
      </c>
      <c r="I103" s="25" t="str">
        <f>IF(Setup!C108&lt;&gt;"",Setup!C108,Setup!B108)</f>
        <v>3rd Group D/E/I/J/L</v>
      </c>
    </row>
    <row r="104" spans="1:9" x14ac:dyDescent="0.25">
      <c r="A104" s="24">
        <v>103</v>
      </c>
      <c r="B104" s="25" t="str">
        <f>Setup!B109</f>
        <v>3rd Group E/F/G/I/J</v>
      </c>
      <c r="C104" s="25" t="s">
        <v>562</v>
      </c>
      <c r="D104" s="25" t="s">
        <v>904</v>
      </c>
      <c r="E104" s="25" t="s">
        <v>912</v>
      </c>
      <c r="F104" s="25" t="s">
        <v>920</v>
      </c>
      <c r="G104" s="25" t="s">
        <v>928</v>
      </c>
      <c r="H104" s="24" t="s">
        <v>936</v>
      </c>
      <c r="I104" s="25" t="str">
        <f>IF(Setup!C109&lt;&gt;"",Setup!C109,Setup!B109)</f>
        <v>3rd Group E/F/G/I/J</v>
      </c>
    </row>
    <row r="105" spans="1:9" x14ac:dyDescent="0.25">
      <c r="A105" s="24">
        <v>104</v>
      </c>
      <c r="B105" s="25" t="str">
        <f>Setup!B110</f>
        <v>3rd Group E/H/I/J/K</v>
      </c>
      <c r="C105" s="25" t="s">
        <v>559</v>
      </c>
      <c r="D105" s="25" t="s">
        <v>905</v>
      </c>
      <c r="E105" s="25" t="s">
        <v>913</v>
      </c>
      <c r="F105" s="25" t="s">
        <v>921</v>
      </c>
      <c r="G105" s="25" t="s">
        <v>929</v>
      </c>
      <c r="H105" s="24" t="s">
        <v>937</v>
      </c>
      <c r="I105" s="25" t="str">
        <f>IF(Setup!C110&lt;&gt;"",Setup!C110,Setup!B110)</f>
        <v>3rd Group E/H/I/J/K</v>
      </c>
    </row>
    <row r="106" spans="1:9" x14ac:dyDescent="0.25">
      <c r="A106" s="24">
        <v>105</v>
      </c>
      <c r="B106" s="25" t="str">
        <f>Setup!B111</f>
        <v>Match 73 Winner</v>
      </c>
      <c r="C106" s="25" t="s">
        <v>594</v>
      </c>
      <c r="D106" s="25" t="s">
        <v>786</v>
      </c>
      <c r="E106" s="25" t="s">
        <v>738</v>
      </c>
      <c r="F106" s="25" t="s">
        <v>739</v>
      </c>
      <c r="G106" s="25" t="s">
        <v>740</v>
      </c>
      <c r="H106" s="24" t="s">
        <v>741</v>
      </c>
      <c r="I106" s="25" t="str">
        <f>IF(Setup!C111&lt;&gt;"",Setup!C111,Setup!B111)</f>
        <v>Match 73 Winner</v>
      </c>
    </row>
    <row r="107" spans="1:9" x14ac:dyDescent="0.25">
      <c r="A107" s="24">
        <v>106</v>
      </c>
      <c r="B107" s="25" t="str">
        <f>Setup!B112</f>
        <v>Match 74 Winner</v>
      </c>
      <c r="C107" s="25" t="s">
        <v>595</v>
      </c>
      <c r="D107" s="25" t="s">
        <v>787</v>
      </c>
      <c r="E107" s="25" t="s">
        <v>742</v>
      </c>
      <c r="F107" s="25" t="s">
        <v>743</v>
      </c>
      <c r="G107" s="25" t="s">
        <v>744</v>
      </c>
      <c r="H107" s="24" t="s">
        <v>745</v>
      </c>
      <c r="I107" s="25" t="str">
        <f>IF(Setup!C112&lt;&gt;"",Setup!C112,Setup!B112)</f>
        <v>Match 74 Winner</v>
      </c>
    </row>
    <row r="108" spans="1:9" x14ac:dyDescent="0.25">
      <c r="A108" s="24">
        <v>107</v>
      </c>
      <c r="B108" s="25" t="str">
        <f>Setup!B113</f>
        <v>Match 75 Winner</v>
      </c>
      <c r="C108" s="25" t="s">
        <v>596</v>
      </c>
      <c r="D108" s="25" t="s">
        <v>788</v>
      </c>
      <c r="E108" s="25" t="s">
        <v>746</v>
      </c>
      <c r="F108" s="25" t="s">
        <v>747</v>
      </c>
      <c r="G108" s="25" t="s">
        <v>748</v>
      </c>
      <c r="H108" s="24" t="s">
        <v>749</v>
      </c>
      <c r="I108" s="25" t="str">
        <f>IF(Setup!C113&lt;&gt;"",Setup!C113,Setup!B113)</f>
        <v>Match 75 Winner</v>
      </c>
    </row>
    <row r="109" spans="1:9" x14ac:dyDescent="0.25">
      <c r="A109" s="24">
        <v>108</v>
      </c>
      <c r="B109" s="25" t="str">
        <f>Setup!B114</f>
        <v>Match 76 Winner</v>
      </c>
      <c r="C109" s="25" t="s">
        <v>597</v>
      </c>
      <c r="D109" s="25" t="s">
        <v>789</v>
      </c>
      <c r="E109" s="25" t="s">
        <v>750</v>
      </c>
      <c r="F109" s="25" t="s">
        <v>751</v>
      </c>
      <c r="G109" s="25" t="s">
        <v>752</v>
      </c>
      <c r="H109" s="24" t="s">
        <v>753</v>
      </c>
      <c r="I109" s="25" t="str">
        <f>IF(Setup!C114&lt;&gt;"",Setup!C114,Setup!B114)</f>
        <v>Match 76 Winner</v>
      </c>
    </row>
    <row r="110" spans="1:9" x14ac:dyDescent="0.25">
      <c r="A110" s="24">
        <v>109</v>
      </c>
      <c r="B110" s="25" t="str">
        <f>Setup!B115</f>
        <v>Match 77 Winner</v>
      </c>
      <c r="C110" s="25" t="s">
        <v>598</v>
      </c>
      <c r="D110" s="25" t="s">
        <v>790</v>
      </c>
      <c r="E110" s="25" t="s">
        <v>754</v>
      </c>
      <c r="F110" s="25" t="s">
        <v>755</v>
      </c>
      <c r="G110" s="25" t="s">
        <v>756</v>
      </c>
      <c r="H110" s="24" t="s">
        <v>757</v>
      </c>
      <c r="I110" s="25" t="str">
        <f>IF(Setup!C115&lt;&gt;"",Setup!C115,Setup!B115)</f>
        <v>Match 77 Winner</v>
      </c>
    </row>
    <row r="111" spans="1:9" x14ac:dyDescent="0.25">
      <c r="A111" s="24">
        <v>110</v>
      </c>
      <c r="B111" s="25" t="str">
        <f>Setup!B116</f>
        <v>Match 78 Winner</v>
      </c>
      <c r="C111" s="25" t="s">
        <v>599</v>
      </c>
      <c r="D111" s="25" t="s">
        <v>791</v>
      </c>
      <c r="E111" s="25" t="s">
        <v>758</v>
      </c>
      <c r="F111" s="25" t="s">
        <v>759</v>
      </c>
      <c r="G111" s="25" t="s">
        <v>760</v>
      </c>
      <c r="H111" s="24" t="s">
        <v>761</v>
      </c>
      <c r="I111" s="25" t="str">
        <f>IF(Setup!C116&lt;&gt;"",Setup!C116,Setup!B116)</f>
        <v>Match 78 Winner</v>
      </c>
    </row>
    <row r="112" spans="1:9" x14ac:dyDescent="0.25">
      <c r="A112" s="24">
        <v>111</v>
      </c>
      <c r="B112" s="25" t="str">
        <f>Setup!B117</f>
        <v>Match 79 Winner</v>
      </c>
      <c r="C112" s="25" t="s">
        <v>600</v>
      </c>
      <c r="D112" s="25" t="s">
        <v>792</v>
      </c>
      <c r="E112" s="25" t="s">
        <v>762</v>
      </c>
      <c r="F112" s="25" t="s">
        <v>763</v>
      </c>
      <c r="G112" s="25" t="s">
        <v>764</v>
      </c>
      <c r="H112" s="24" t="s">
        <v>765</v>
      </c>
      <c r="I112" s="25" t="str">
        <f>IF(Setup!C117&lt;&gt;"",Setup!C117,Setup!B117)</f>
        <v>Match 79 Winner</v>
      </c>
    </row>
    <row r="113" spans="1:9" x14ac:dyDescent="0.25">
      <c r="A113" s="24">
        <v>112</v>
      </c>
      <c r="B113" s="25" t="str">
        <f>Setup!B118</f>
        <v>Match 80 Winner</v>
      </c>
      <c r="C113" s="25" t="s">
        <v>601</v>
      </c>
      <c r="D113" s="25" t="s">
        <v>793</v>
      </c>
      <c r="E113" s="25" t="s">
        <v>766</v>
      </c>
      <c r="F113" s="25" t="s">
        <v>767</v>
      </c>
      <c r="G113" s="25" t="s">
        <v>768</v>
      </c>
      <c r="H113" s="24" t="s">
        <v>769</v>
      </c>
      <c r="I113" s="25" t="str">
        <f>IF(Setup!C118&lt;&gt;"",Setup!C118,Setup!B118)</f>
        <v>Match 80 Winner</v>
      </c>
    </row>
    <row r="114" spans="1:9" x14ac:dyDescent="0.25">
      <c r="A114" s="24">
        <v>113</v>
      </c>
      <c r="B114" s="25" t="str">
        <f>Setup!B119</f>
        <v>Match 81 Winner</v>
      </c>
      <c r="C114" s="25" t="s">
        <v>602</v>
      </c>
      <c r="D114" s="25" t="s">
        <v>794</v>
      </c>
      <c r="E114" s="25" t="s">
        <v>770</v>
      </c>
      <c r="F114" s="25" t="s">
        <v>771</v>
      </c>
      <c r="G114" s="25" t="s">
        <v>772</v>
      </c>
      <c r="H114" s="24" t="s">
        <v>773</v>
      </c>
      <c r="I114" s="25" t="str">
        <f>IF(Setup!C119&lt;&gt;"",Setup!C119,Setup!B119)</f>
        <v>Match 81 Winner</v>
      </c>
    </row>
    <row r="115" spans="1:9" x14ac:dyDescent="0.25">
      <c r="A115" s="24">
        <v>114</v>
      </c>
      <c r="B115" s="25" t="str">
        <f>Setup!B120</f>
        <v>Match 82 Winner</v>
      </c>
      <c r="C115" s="25" t="s">
        <v>603</v>
      </c>
      <c r="D115" s="25" t="s">
        <v>795</v>
      </c>
      <c r="E115" s="25" t="s">
        <v>774</v>
      </c>
      <c r="F115" s="25" t="s">
        <v>775</v>
      </c>
      <c r="G115" s="25" t="s">
        <v>776</v>
      </c>
      <c r="H115" s="24" t="s">
        <v>777</v>
      </c>
      <c r="I115" s="25" t="str">
        <f>IF(Setup!C120&lt;&gt;"",Setup!C120,Setup!B120)</f>
        <v>Match 82 Winner</v>
      </c>
    </row>
    <row r="116" spans="1:9" x14ac:dyDescent="0.25">
      <c r="A116" s="24">
        <v>115</v>
      </c>
      <c r="B116" s="25" t="str">
        <f>Setup!B121</f>
        <v>Match 83 Winner</v>
      </c>
      <c r="C116" s="25" t="s">
        <v>604</v>
      </c>
      <c r="D116" s="25" t="s">
        <v>796</v>
      </c>
      <c r="E116" s="25" t="s">
        <v>778</v>
      </c>
      <c r="F116" s="25" t="s">
        <v>779</v>
      </c>
      <c r="G116" s="25" t="s">
        <v>780</v>
      </c>
      <c r="H116" s="24" t="s">
        <v>781</v>
      </c>
      <c r="I116" s="25" t="str">
        <f>IF(Setup!C121&lt;&gt;"",Setup!C121,Setup!B121)</f>
        <v>Match 83 Winner</v>
      </c>
    </row>
    <row r="117" spans="1:9" x14ac:dyDescent="0.25">
      <c r="A117" s="24">
        <v>116</v>
      </c>
      <c r="B117" s="25" t="str">
        <f>Setup!B122</f>
        <v>Match 84 Winner</v>
      </c>
      <c r="C117" s="25" t="s">
        <v>605</v>
      </c>
      <c r="D117" s="25" t="s">
        <v>797</v>
      </c>
      <c r="E117" s="25" t="s">
        <v>782</v>
      </c>
      <c r="F117" s="25" t="s">
        <v>783</v>
      </c>
      <c r="G117" s="25" t="s">
        <v>784</v>
      </c>
      <c r="H117" s="24" t="s">
        <v>785</v>
      </c>
      <c r="I117" s="25" t="str">
        <f>IF(Setup!C122&lt;&gt;"",Setup!C122,Setup!B122)</f>
        <v>Match 84 Winner</v>
      </c>
    </row>
    <row r="118" spans="1:9" x14ac:dyDescent="0.25">
      <c r="A118" s="24">
        <v>117</v>
      </c>
      <c r="B118" s="25" t="str">
        <f>Setup!B123</f>
        <v>Match 85 Winner</v>
      </c>
      <c r="C118" s="25" t="s">
        <v>606</v>
      </c>
      <c r="D118" s="25" t="s">
        <v>703</v>
      </c>
      <c r="E118" s="25" t="s">
        <v>798</v>
      </c>
      <c r="F118" s="25" t="s">
        <v>799</v>
      </c>
      <c r="G118" s="25" t="s">
        <v>800</v>
      </c>
      <c r="H118" s="24" t="s">
        <v>726</v>
      </c>
      <c r="I118" s="25" t="str">
        <f>IF(Setup!C123&lt;&gt;"",Setup!C123,Setup!B123)</f>
        <v>Match 85 Winner</v>
      </c>
    </row>
    <row r="119" spans="1:9" x14ac:dyDescent="0.25">
      <c r="A119" s="24">
        <v>118</v>
      </c>
      <c r="B119" s="25" t="str">
        <f>Setup!B124</f>
        <v>Match 86 Winner</v>
      </c>
      <c r="C119" s="25" t="s">
        <v>607</v>
      </c>
      <c r="D119" s="25" t="s">
        <v>704</v>
      </c>
      <c r="E119" s="25" t="s">
        <v>801</v>
      </c>
      <c r="F119" s="25" t="s">
        <v>802</v>
      </c>
      <c r="G119" s="25" t="s">
        <v>803</v>
      </c>
      <c r="H119" s="24" t="s">
        <v>727</v>
      </c>
      <c r="I119" s="25" t="str">
        <f>IF(Setup!C124&lt;&gt;"",Setup!C124,Setup!B124)</f>
        <v>Match 86 Winner</v>
      </c>
    </row>
    <row r="120" spans="1:9" x14ac:dyDescent="0.25">
      <c r="A120" s="24">
        <v>119</v>
      </c>
      <c r="B120" s="25" t="str">
        <f>Setup!B125</f>
        <v>Match 87 Winner</v>
      </c>
      <c r="C120" s="25" t="s">
        <v>608</v>
      </c>
      <c r="D120" s="25" t="s">
        <v>705</v>
      </c>
      <c r="E120" s="25" t="s">
        <v>804</v>
      </c>
      <c r="F120" s="25" t="s">
        <v>805</v>
      </c>
      <c r="G120" s="25" t="s">
        <v>806</v>
      </c>
      <c r="H120" s="24" t="s">
        <v>728</v>
      </c>
      <c r="I120" s="25" t="str">
        <f>IF(Setup!C125&lt;&gt;"",Setup!C125,Setup!B125)</f>
        <v>Match 87 Winner</v>
      </c>
    </row>
    <row r="121" spans="1:9" x14ac:dyDescent="0.25">
      <c r="A121" s="24">
        <v>120</v>
      </c>
      <c r="B121" s="25" t="str">
        <f>Setup!B126</f>
        <v>Match 88 Winner</v>
      </c>
      <c r="C121" s="25" t="s">
        <v>609</v>
      </c>
      <c r="D121" s="25" t="s">
        <v>706</v>
      </c>
      <c r="E121" s="25" t="s">
        <v>807</v>
      </c>
      <c r="F121" s="25" t="s">
        <v>808</v>
      </c>
      <c r="G121" s="25" t="s">
        <v>809</v>
      </c>
      <c r="H121" s="24" t="s">
        <v>729</v>
      </c>
      <c r="I121" s="25" t="str">
        <f>IF(Setup!C126&lt;&gt;"",Setup!C126,Setup!B126)</f>
        <v>Match 88 Winner</v>
      </c>
    </row>
    <row r="122" spans="1:9" x14ac:dyDescent="0.25">
      <c r="A122" s="24">
        <v>121</v>
      </c>
      <c r="B122" s="25" t="str">
        <f>Setup!B127</f>
        <v>Match 89 Winner</v>
      </c>
      <c r="C122" s="25" t="s">
        <v>610</v>
      </c>
      <c r="D122" s="25" t="s">
        <v>707</v>
      </c>
      <c r="E122" s="25" t="s">
        <v>810</v>
      </c>
      <c r="F122" s="25" t="s">
        <v>811</v>
      </c>
      <c r="G122" s="25" t="s">
        <v>812</v>
      </c>
      <c r="H122" s="24" t="s">
        <v>730</v>
      </c>
      <c r="I122" s="25" t="str">
        <f>IF(Setup!C127&lt;&gt;"",Setup!C127,Setup!B127)</f>
        <v>Match 89 Winner</v>
      </c>
    </row>
    <row r="123" spans="1:9" x14ac:dyDescent="0.25">
      <c r="A123" s="24">
        <v>122</v>
      </c>
      <c r="B123" s="25" t="str">
        <f>Setup!B128</f>
        <v>Match 90 Winner</v>
      </c>
      <c r="C123" s="25" t="s">
        <v>611</v>
      </c>
      <c r="D123" s="25" t="s">
        <v>708</v>
      </c>
      <c r="E123" s="25" t="s">
        <v>813</v>
      </c>
      <c r="F123" s="25" t="s">
        <v>814</v>
      </c>
      <c r="G123" s="25" t="s">
        <v>815</v>
      </c>
      <c r="H123" s="24" t="s">
        <v>731</v>
      </c>
      <c r="I123" s="25" t="str">
        <f>IF(Setup!C128&lt;&gt;"",Setup!C128,Setup!B128)</f>
        <v>Match 90 Winner</v>
      </c>
    </row>
    <row r="124" spans="1:9" x14ac:dyDescent="0.25">
      <c r="A124" s="24">
        <v>123</v>
      </c>
      <c r="B124" s="25" t="str">
        <f>Setup!B129</f>
        <v>Match 91 Winner</v>
      </c>
      <c r="C124" s="25" t="s">
        <v>612</v>
      </c>
      <c r="D124" s="25" t="s">
        <v>709</v>
      </c>
      <c r="E124" s="25" t="s">
        <v>816</v>
      </c>
      <c r="F124" s="25" t="s">
        <v>817</v>
      </c>
      <c r="G124" s="25" t="s">
        <v>818</v>
      </c>
      <c r="H124" s="24" t="s">
        <v>732</v>
      </c>
      <c r="I124" s="25" t="str">
        <f>IF(Setup!C129&lt;&gt;"",Setup!C129,Setup!B129)</f>
        <v>Match 91 Winner</v>
      </c>
    </row>
    <row r="125" spans="1:9" x14ac:dyDescent="0.25">
      <c r="A125" s="24">
        <v>124</v>
      </c>
      <c r="B125" s="25" t="str">
        <f>Setup!B130</f>
        <v>Match 92 Winner</v>
      </c>
      <c r="C125" s="25" t="s">
        <v>613</v>
      </c>
      <c r="D125" s="25" t="s">
        <v>710</v>
      </c>
      <c r="E125" s="25" t="s">
        <v>819</v>
      </c>
      <c r="F125" s="25" t="s">
        <v>820</v>
      </c>
      <c r="G125" s="25" t="s">
        <v>821</v>
      </c>
      <c r="H125" s="24" t="s">
        <v>733</v>
      </c>
      <c r="I125" s="25" t="str">
        <f>IF(Setup!C130&lt;&gt;"",Setup!C130,Setup!B130)</f>
        <v>Match 92 Winner</v>
      </c>
    </row>
    <row r="126" spans="1:9" x14ac:dyDescent="0.25">
      <c r="A126" s="24">
        <v>125</v>
      </c>
      <c r="B126" s="25" t="str">
        <f>Setup!B131</f>
        <v>Match 93 Winner</v>
      </c>
      <c r="C126" s="25" t="s">
        <v>614</v>
      </c>
      <c r="D126" s="25" t="s">
        <v>711</v>
      </c>
      <c r="E126" s="25" t="s">
        <v>822</v>
      </c>
      <c r="F126" s="25" t="s">
        <v>823</v>
      </c>
      <c r="G126" s="25" t="s">
        <v>824</v>
      </c>
      <c r="H126" s="24" t="s">
        <v>734</v>
      </c>
      <c r="I126" s="25" t="str">
        <f>IF(Setup!C131&lt;&gt;"",Setup!C131,Setup!B131)</f>
        <v>Match 93 Winner</v>
      </c>
    </row>
    <row r="127" spans="1:9" x14ac:dyDescent="0.25">
      <c r="A127" s="24">
        <v>126</v>
      </c>
      <c r="B127" s="25" t="str">
        <f>Setup!B132</f>
        <v>Match 94 Winner</v>
      </c>
      <c r="C127" s="25" t="s">
        <v>615</v>
      </c>
      <c r="D127" s="25" t="s">
        <v>712</v>
      </c>
      <c r="E127" s="25" t="s">
        <v>825</v>
      </c>
      <c r="F127" s="25" t="s">
        <v>826</v>
      </c>
      <c r="G127" s="25" t="s">
        <v>827</v>
      </c>
      <c r="H127" s="24" t="s">
        <v>735</v>
      </c>
      <c r="I127" s="25" t="str">
        <f>IF(Setup!C132&lt;&gt;"",Setup!C132,Setup!B132)</f>
        <v>Match 94 Winner</v>
      </c>
    </row>
    <row r="128" spans="1:9" x14ac:dyDescent="0.25">
      <c r="A128" s="24">
        <v>127</v>
      </c>
      <c r="B128" s="25" t="str">
        <f>Setup!B133</f>
        <v>Match 95 Winner</v>
      </c>
      <c r="C128" s="25" t="s">
        <v>616</v>
      </c>
      <c r="D128" s="25" t="s">
        <v>713</v>
      </c>
      <c r="E128" s="25" t="s">
        <v>828</v>
      </c>
      <c r="F128" s="25" t="s">
        <v>829</v>
      </c>
      <c r="G128" s="25" t="s">
        <v>830</v>
      </c>
      <c r="H128" s="24" t="s">
        <v>736</v>
      </c>
      <c r="I128" s="25" t="str">
        <f>IF(Setup!C133&lt;&gt;"",Setup!C133,Setup!B133)</f>
        <v>Match 95 Winner</v>
      </c>
    </row>
    <row r="129" spans="1:9" x14ac:dyDescent="0.25">
      <c r="A129" s="24">
        <v>128</v>
      </c>
      <c r="B129" s="25" t="str">
        <f>Setup!B134</f>
        <v>Match 96 Winner</v>
      </c>
      <c r="C129" s="25" t="s">
        <v>617</v>
      </c>
      <c r="D129" s="25" t="s">
        <v>714</v>
      </c>
      <c r="E129" s="25" t="s">
        <v>831</v>
      </c>
      <c r="F129" s="25" t="s">
        <v>832</v>
      </c>
      <c r="G129" s="25" t="s">
        <v>833</v>
      </c>
      <c r="H129" s="24" t="s">
        <v>737</v>
      </c>
      <c r="I129" s="25" t="str">
        <f>IF(Setup!C134&lt;&gt;"",Setup!C134,Setup!B134)</f>
        <v>Match 96 Winner</v>
      </c>
    </row>
    <row r="130" spans="1:9" x14ac:dyDescent="0.25">
      <c r="A130" s="24">
        <v>129</v>
      </c>
      <c r="B130" s="25" t="str">
        <f>Setup!B135</f>
        <v>Match 97 Winner</v>
      </c>
      <c r="C130" s="25" t="s">
        <v>618</v>
      </c>
      <c r="D130" s="25" t="s">
        <v>715</v>
      </c>
      <c r="E130" s="25" t="s">
        <v>834</v>
      </c>
      <c r="F130" s="25" t="s">
        <v>835</v>
      </c>
      <c r="G130" s="25" t="s">
        <v>836</v>
      </c>
      <c r="H130" s="24" t="s">
        <v>837</v>
      </c>
      <c r="I130" s="25" t="str">
        <f>IF(Setup!C135&lt;&gt;"",Setup!C135,Setup!B135)</f>
        <v>Match 97 Winner</v>
      </c>
    </row>
    <row r="131" spans="1:9" x14ac:dyDescent="0.25">
      <c r="A131" s="24">
        <v>130</v>
      </c>
      <c r="B131" s="25" t="str">
        <f>Setup!B136</f>
        <v>Match 98 Winner</v>
      </c>
      <c r="C131" s="25" t="s">
        <v>619</v>
      </c>
      <c r="D131" s="25" t="s">
        <v>716</v>
      </c>
      <c r="E131" s="25" t="s">
        <v>838</v>
      </c>
      <c r="F131" s="25" t="s">
        <v>839</v>
      </c>
      <c r="G131" s="25" t="s">
        <v>840</v>
      </c>
      <c r="H131" s="24" t="s">
        <v>841</v>
      </c>
      <c r="I131" s="25" t="str">
        <f>IF(Setup!C136&lt;&gt;"",Setup!C136,Setup!B136)</f>
        <v>Match 98 Winner</v>
      </c>
    </row>
    <row r="132" spans="1:9" x14ac:dyDescent="0.25">
      <c r="A132" s="24">
        <v>131</v>
      </c>
      <c r="B132" s="25" t="str">
        <f>Setup!B137</f>
        <v>Match 99 Winner</v>
      </c>
      <c r="C132" s="25" t="s">
        <v>620</v>
      </c>
      <c r="D132" s="25" t="s">
        <v>717</v>
      </c>
      <c r="E132" s="25" t="s">
        <v>842</v>
      </c>
      <c r="F132" s="25" t="s">
        <v>843</v>
      </c>
      <c r="G132" s="25" t="s">
        <v>844</v>
      </c>
      <c r="H132" s="24" t="s">
        <v>845</v>
      </c>
      <c r="I132" s="25" t="str">
        <f>IF(Setup!C137&lt;&gt;"",Setup!C137,Setup!B137)</f>
        <v>Match 99 Winner</v>
      </c>
    </row>
    <row r="133" spans="1:9" x14ac:dyDescent="0.25">
      <c r="A133" s="24">
        <v>132</v>
      </c>
      <c r="B133" s="25" t="str">
        <f>Setup!B138</f>
        <v>Match 100 Winner</v>
      </c>
      <c r="C133" s="25" t="s">
        <v>621</v>
      </c>
      <c r="D133" s="25" t="s">
        <v>718</v>
      </c>
      <c r="E133" s="25" t="s">
        <v>846</v>
      </c>
      <c r="F133" s="25" t="s">
        <v>847</v>
      </c>
      <c r="G133" s="25" t="s">
        <v>848</v>
      </c>
      <c r="H133" s="24" t="s">
        <v>849</v>
      </c>
      <c r="I133" s="25" t="str">
        <f>IF(Setup!C138&lt;&gt;"",Setup!C138,Setup!B138)</f>
        <v>Match 100 Winner</v>
      </c>
    </row>
    <row r="134" spans="1:9" x14ac:dyDescent="0.25">
      <c r="A134" s="24">
        <v>133</v>
      </c>
      <c r="B134" s="25" t="str">
        <f>Setup!B139</f>
        <v>Match 101 Winner</v>
      </c>
      <c r="C134" s="25" t="s">
        <v>622</v>
      </c>
      <c r="D134" s="25" t="s">
        <v>719</v>
      </c>
      <c r="E134" s="25" t="s">
        <v>850</v>
      </c>
      <c r="F134" s="25" t="s">
        <v>851</v>
      </c>
      <c r="G134" s="25" t="s">
        <v>852</v>
      </c>
      <c r="H134" s="24" t="s">
        <v>853</v>
      </c>
      <c r="I134" s="25" t="str">
        <f>IF(Setup!C139&lt;&gt;"",Setup!C139,Setup!B139)</f>
        <v>Match 101 Winner</v>
      </c>
    </row>
    <row r="135" spans="1:9" x14ac:dyDescent="0.25">
      <c r="A135" s="24">
        <v>134</v>
      </c>
      <c r="B135" s="25" t="str">
        <f>Setup!B140</f>
        <v>Match 102 Winner</v>
      </c>
      <c r="C135" s="25" t="s">
        <v>623</v>
      </c>
      <c r="D135" s="25" t="s">
        <v>720</v>
      </c>
      <c r="E135" s="25" t="s">
        <v>854</v>
      </c>
      <c r="F135" s="25" t="s">
        <v>855</v>
      </c>
      <c r="G135" s="25" t="s">
        <v>856</v>
      </c>
      <c r="H135" s="24" t="s">
        <v>857</v>
      </c>
      <c r="I135" s="25" t="str">
        <f>IF(Setup!C140&lt;&gt;"",Setup!C140,Setup!B140)</f>
        <v>Match 102 Winner</v>
      </c>
    </row>
    <row r="136" spans="1:9" x14ac:dyDescent="0.25">
      <c r="A136" s="24">
        <v>135</v>
      </c>
      <c r="B136" s="25" t="str">
        <f>Setup!B141</f>
        <v>Match 103 Winner</v>
      </c>
      <c r="C136" s="25" t="s">
        <v>627</v>
      </c>
      <c r="D136" s="25" t="s">
        <v>721</v>
      </c>
      <c r="E136" s="25" t="s">
        <v>858</v>
      </c>
      <c r="F136" s="25" t="s">
        <v>859</v>
      </c>
      <c r="G136" s="25" t="s">
        <v>860</v>
      </c>
      <c r="H136" s="24" t="s">
        <v>861</v>
      </c>
      <c r="I136" s="25" t="str">
        <f>IF(Setup!C141&lt;&gt;"",Setup!C141,Setup!B141)</f>
        <v>Match 103 Winner</v>
      </c>
    </row>
    <row r="137" spans="1:9" x14ac:dyDescent="0.25">
      <c r="A137" s="24">
        <v>136</v>
      </c>
      <c r="B137" s="25" t="str">
        <f>Setup!B142</f>
        <v>Match 104 Winner</v>
      </c>
      <c r="C137" s="25" t="s">
        <v>628</v>
      </c>
      <c r="D137" s="25" t="s">
        <v>722</v>
      </c>
      <c r="E137" s="25" t="s">
        <v>862</v>
      </c>
      <c r="F137" s="25" t="s">
        <v>863</v>
      </c>
      <c r="G137" s="25" t="s">
        <v>864</v>
      </c>
      <c r="H137" s="24" t="s">
        <v>865</v>
      </c>
      <c r="I137" s="25" t="str">
        <f>IF(Setup!C142&lt;&gt;"",Setup!C142,Setup!B142)</f>
        <v>Match 104 Winner</v>
      </c>
    </row>
    <row r="138" spans="1:9" x14ac:dyDescent="0.25">
      <c r="A138" s="24">
        <v>137</v>
      </c>
      <c r="B138" s="25" t="str">
        <f>Setup!B143</f>
        <v>Match 101 Loser</v>
      </c>
      <c r="C138" s="25" t="s">
        <v>625</v>
      </c>
      <c r="D138" s="25" t="s">
        <v>723</v>
      </c>
      <c r="E138" s="25" t="s">
        <v>866</v>
      </c>
      <c r="F138" s="25" t="s">
        <v>869</v>
      </c>
      <c r="G138" s="25" t="s">
        <v>872</v>
      </c>
      <c r="H138" s="24" t="s">
        <v>875</v>
      </c>
      <c r="I138" s="25" t="str">
        <f>IF(Setup!C143&lt;&gt;"",Setup!C143,Setup!B143)</f>
        <v>Match 101 Loser</v>
      </c>
    </row>
    <row r="139" spans="1:9" x14ac:dyDescent="0.25">
      <c r="A139" s="24">
        <v>138</v>
      </c>
      <c r="B139" s="25" t="str">
        <f>Setup!B144</f>
        <v>Match 102 Loser</v>
      </c>
      <c r="C139" s="25" t="s">
        <v>624</v>
      </c>
      <c r="D139" s="25" t="s">
        <v>724</v>
      </c>
      <c r="E139" s="25" t="s">
        <v>867</v>
      </c>
      <c r="F139" s="25" t="s">
        <v>870</v>
      </c>
      <c r="G139" s="25" t="s">
        <v>873</v>
      </c>
      <c r="H139" s="24" t="s">
        <v>876</v>
      </c>
      <c r="I139" s="25" t="str">
        <f>IF(Setup!C144&lt;&gt;"",Setup!C144,Setup!B144)</f>
        <v>Match 102 Loser</v>
      </c>
    </row>
    <row r="140" spans="1:9" x14ac:dyDescent="0.25">
      <c r="A140" s="24">
        <v>139</v>
      </c>
      <c r="B140" s="25" t="str">
        <f>Setup!B145</f>
        <v>Match 104 Loser</v>
      </c>
      <c r="C140" s="25" t="s">
        <v>626</v>
      </c>
      <c r="D140" s="25" t="s">
        <v>725</v>
      </c>
      <c r="E140" s="25" t="s">
        <v>868</v>
      </c>
      <c r="F140" s="25" t="s">
        <v>871</v>
      </c>
      <c r="G140" s="25" t="s">
        <v>874</v>
      </c>
      <c r="H140" s="24" t="s">
        <v>877</v>
      </c>
      <c r="I140" s="25" t="str">
        <f>IF(Setup!C145&lt;&gt;"",Setup!C145,Setup!B145)</f>
        <v>Match 104 Loser</v>
      </c>
    </row>
    <row r="141" spans="1:9" x14ac:dyDescent="0.25">
      <c r="A141" s="24">
        <v>140</v>
      </c>
      <c r="B141" s="25" t="str">
        <f>Setup!B146</f>
        <v>Played</v>
      </c>
      <c r="C141" s="24" t="s">
        <v>44</v>
      </c>
      <c r="D141" s="25" t="s">
        <v>281</v>
      </c>
      <c r="E141" s="25" t="s">
        <v>129</v>
      </c>
      <c r="F141" s="25" t="s">
        <v>282</v>
      </c>
      <c r="G141" s="25" t="s">
        <v>131</v>
      </c>
      <c r="H141" s="24" t="s">
        <v>283</v>
      </c>
      <c r="I141" s="25" t="str">
        <f>IF(Setup!C146&lt;&gt;"",Setup!C146,Setup!B146)</f>
        <v>Played</v>
      </c>
    </row>
    <row r="142" spans="1:9" x14ac:dyDescent="0.25">
      <c r="A142" s="24">
        <v>141</v>
      </c>
      <c r="B142" s="25" t="str">
        <f>Setup!B147</f>
        <v>Win</v>
      </c>
      <c r="C142" s="24" t="s">
        <v>45</v>
      </c>
      <c r="D142" s="25" t="s">
        <v>284</v>
      </c>
      <c r="E142" s="25" t="s">
        <v>285</v>
      </c>
      <c r="F142" s="25" t="s">
        <v>286</v>
      </c>
      <c r="G142" s="25" t="s">
        <v>287</v>
      </c>
      <c r="H142" s="24" t="s">
        <v>288</v>
      </c>
      <c r="I142" s="25" t="str">
        <f>IF(Setup!C147&lt;&gt;"",Setup!C147,Setup!B147)</f>
        <v>Win</v>
      </c>
    </row>
    <row r="143" spans="1:9" x14ac:dyDescent="0.25">
      <c r="A143" s="24">
        <v>142</v>
      </c>
      <c r="B143" s="25" t="str">
        <f>Setup!B148</f>
        <v>Draw</v>
      </c>
      <c r="C143" s="24" t="s">
        <v>46</v>
      </c>
      <c r="D143" s="25" t="s">
        <v>289</v>
      </c>
      <c r="E143" s="25" t="s">
        <v>290</v>
      </c>
      <c r="F143" s="25" t="s">
        <v>291</v>
      </c>
      <c r="G143" s="25" t="s">
        <v>292</v>
      </c>
      <c r="H143" s="24" t="s">
        <v>293</v>
      </c>
      <c r="I143" s="25" t="str">
        <f>IF(Setup!C148&lt;&gt;"",Setup!C148,Setup!B148)</f>
        <v>Draw</v>
      </c>
    </row>
    <row r="144" spans="1:9" x14ac:dyDescent="0.25">
      <c r="A144" s="24">
        <v>143</v>
      </c>
      <c r="B144" s="25" t="str">
        <f>Setup!B149</f>
        <v>Lose</v>
      </c>
      <c r="C144" s="24" t="s">
        <v>47</v>
      </c>
      <c r="D144" s="25" t="s">
        <v>294</v>
      </c>
      <c r="E144" s="25" t="s">
        <v>295</v>
      </c>
      <c r="F144" s="25" t="s">
        <v>296</v>
      </c>
      <c r="G144" s="25" t="s">
        <v>297</v>
      </c>
      <c r="H144" s="24" t="s">
        <v>298</v>
      </c>
      <c r="I144" s="25" t="str">
        <f>IF(Setup!C149&lt;&gt;"",Setup!C149,Setup!B149)</f>
        <v>Lose</v>
      </c>
    </row>
    <row r="145" spans="1:9" x14ac:dyDescent="0.25">
      <c r="A145" s="24">
        <v>144</v>
      </c>
      <c r="B145" s="25" t="str">
        <f>Setup!B150</f>
        <v>Goal scored for</v>
      </c>
      <c r="C145" s="24" t="s">
        <v>48</v>
      </c>
      <c r="D145" s="25" t="s">
        <v>299</v>
      </c>
      <c r="E145" s="25" t="s">
        <v>300</v>
      </c>
      <c r="F145" s="25" t="s">
        <v>301</v>
      </c>
      <c r="G145" s="25" t="s">
        <v>302</v>
      </c>
      <c r="H145" s="24" t="s">
        <v>303</v>
      </c>
      <c r="I145" s="25" t="str">
        <f>IF(Setup!C150&lt;&gt;"",Setup!C150,Setup!B150)</f>
        <v>Goal scored for</v>
      </c>
    </row>
    <row r="146" spans="1:9" x14ac:dyDescent="0.25">
      <c r="A146" s="24">
        <v>145</v>
      </c>
      <c r="B146" s="25" t="str">
        <f>Setup!B151</f>
        <v>Goal scored against</v>
      </c>
      <c r="C146" s="24" t="s">
        <v>49</v>
      </c>
      <c r="D146" s="25" t="s">
        <v>304</v>
      </c>
      <c r="E146" s="25" t="s">
        <v>305</v>
      </c>
      <c r="F146" s="25" t="s">
        <v>306</v>
      </c>
      <c r="G146" s="25" t="s">
        <v>307</v>
      </c>
      <c r="H146" s="24" t="s">
        <v>308</v>
      </c>
      <c r="I146" s="25" t="str">
        <f>IF(Setup!C151&lt;&gt;"",Setup!C151,Setup!B151)</f>
        <v>Goal scored against</v>
      </c>
    </row>
    <row r="147" spans="1:9" x14ac:dyDescent="0.25">
      <c r="A147" s="24">
        <v>146</v>
      </c>
      <c r="B147" s="25" t="str">
        <f>Setup!B152</f>
        <v>Point</v>
      </c>
      <c r="C147" s="24" t="s">
        <v>50</v>
      </c>
      <c r="D147" s="25" t="s">
        <v>50</v>
      </c>
      <c r="E147" s="25" t="s">
        <v>309</v>
      </c>
      <c r="F147" s="25" t="s">
        <v>310</v>
      </c>
      <c r="G147" s="25" t="s">
        <v>311</v>
      </c>
      <c r="H147" s="24" t="s">
        <v>312</v>
      </c>
      <c r="I147" s="25" t="str">
        <f>IF(Setup!C152&lt;&gt;"",Setup!C152,Setup!B152)</f>
        <v>Point</v>
      </c>
    </row>
    <row r="148" spans="1:9" x14ac:dyDescent="0.25">
      <c r="A148" s="24">
        <v>147</v>
      </c>
      <c r="B148" s="25" t="str">
        <f>Setup!B153</f>
        <v>Second place</v>
      </c>
      <c r="C148" s="24" t="s">
        <v>51</v>
      </c>
      <c r="D148" s="25" t="s">
        <v>313</v>
      </c>
      <c r="E148" s="25" t="s">
        <v>314</v>
      </c>
      <c r="F148" s="25" t="s">
        <v>315</v>
      </c>
      <c r="G148" s="25" t="s">
        <v>316</v>
      </c>
      <c r="H148" s="24" t="s">
        <v>317</v>
      </c>
      <c r="I148" s="25" t="str">
        <f>IF(Setup!C153&lt;&gt;"",Setup!C153,Setup!B153)</f>
        <v>Second place</v>
      </c>
    </row>
    <row r="149" spans="1:9" x14ac:dyDescent="0.25">
      <c r="A149" s="24">
        <v>148</v>
      </c>
      <c r="B149" s="25" t="str">
        <f>Setup!B154</f>
        <v>Group A</v>
      </c>
      <c r="C149" s="24" t="s">
        <v>52</v>
      </c>
      <c r="D149" s="25" t="s">
        <v>318</v>
      </c>
      <c r="E149" s="25" t="s">
        <v>319</v>
      </c>
      <c r="F149" s="25" t="s">
        <v>320</v>
      </c>
      <c r="G149" s="25" t="s">
        <v>321</v>
      </c>
      <c r="H149" s="24" t="s">
        <v>321</v>
      </c>
      <c r="I149" s="25" t="str">
        <f>IF(Setup!C154&lt;&gt;"",Setup!C154,Setup!B154)</f>
        <v>Group A</v>
      </c>
    </row>
    <row r="150" spans="1:9" x14ac:dyDescent="0.25">
      <c r="A150" s="24">
        <v>149</v>
      </c>
      <c r="B150" s="25" t="str">
        <f>Setup!B155</f>
        <v>Group B</v>
      </c>
      <c r="C150" s="24" t="s">
        <v>53</v>
      </c>
      <c r="D150" s="25" t="s">
        <v>322</v>
      </c>
      <c r="E150" s="25" t="s">
        <v>323</v>
      </c>
      <c r="F150" s="25" t="s">
        <v>324</v>
      </c>
      <c r="G150" s="25" t="s">
        <v>325</v>
      </c>
      <c r="H150" s="24" t="s">
        <v>325</v>
      </c>
      <c r="I150" s="25" t="str">
        <f>IF(Setup!C155&lt;&gt;"",Setup!C155,Setup!B155)</f>
        <v>Group B</v>
      </c>
    </row>
    <row r="151" spans="1:9" x14ac:dyDescent="0.25">
      <c r="A151" s="24">
        <v>150</v>
      </c>
      <c r="B151" s="25" t="str">
        <f>Setup!B156</f>
        <v>Group C</v>
      </c>
      <c r="C151" s="24" t="s">
        <v>54</v>
      </c>
      <c r="D151" s="25" t="s">
        <v>326</v>
      </c>
      <c r="E151" s="25" t="s">
        <v>327</v>
      </c>
      <c r="F151" s="25" t="s">
        <v>328</v>
      </c>
      <c r="G151" s="25" t="s">
        <v>329</v>
      </c>
      <c r="H151" s="24" t="s">
        <v>329</v>
      </c>
      <c r="I151" s="25" t="str">
        <f>IF(Setup!C156&lt;&gt;"",Setup!C156,Setup!B156)</f>
        <v>Group C</v>
      </c>
    </row>
    <row r="152" spans="1:9" x14ac:dyDescent="0.25">
      <c r="A152" s="24">
        <v>151</v>
      </c>
      <c r="B152" s="25" t="str">
        <f>Setup!B157</f>
        <v>Group D</v>
      </c>
      <c r="C152" s="24" t="s">
        <v>55</v>
      </c>
      <c r="D152" s="25" t="s">
        <v>330</v>
      </c>
      <c r="E152" s="25" t="s">
        <v>331</v>
      </c>
      <c r="F152" s="25" t="s">
        <v>332</v>
      </c>
      <c r="G152" s="25" t="s">
        <v>333</v>
      </c>
      <c r="H152" s="24" t="s">
        <v>333</v>
      </c>
      <c r="I152" s="25" t="str">
        <f>IF(Setup!C157&lt;&gt;"",Setup!C157,Setup!B157)</f>
        <v>Group D</v>
      </c>
    </row>
    <row r="153" spans="1:9" x14ac:dyDescent="0.25">
      <c r="A153" s="24">
        <v>152</v>
      </c>
      <c r="B153" s="25" t="str">
        <f>Setup!B158</f>
        <v>Group E</v>
      </c>
      <c r="C153" s="24" t="s">
        <v>56</v>
      </c>
      <c r="D153" s="25" t="s">
        <v>334</v>
      </c>
      <c r="E153" s="25" t="s">
        <v>335</v>
      </c>
      <c r="F153" s="25" t="s">
        <v>336</v>
      </c>
      <c r="G153" s="25" t="s">
        <v>337</v>
      </c>
      <c r="H153" s="24" t="s">
        <v>337</v>
      </c>
      <c r="I153" s="25" t="str">
        <f>IF(Setup!C158&lt;&gt;"",Setup!C158,Setup!B158)</f>
        <v>Group E</v>
      </c>
    </row>
    <row r="154" spans="1:9" x14ac:dyDescent="0.25">
      <c r="A154" s="24">
        <v>153</v>
      </c>
      <c r="B154" s="25" t="str">
        <f>Setup!B159</f>
        <v>Group F</v>
      </c>
      <c r="C154" s="24" t="s">
        <v>57</v>
      </c>
      <c r="D154" s="25" t="s">
        <v>338</v>
      </c>
      <c r="E154" s="25" t="s">
        <v>339</v>
      </c>
      <c r="F154" s="25" t="s">
        <v>340</v>
      </c>
      <c r="G154" s="25" t="s">
        <v>341</v>
      </c>
      <c r="H154" s="24" t="s">
        <v>341</v>
      </c>
      <c r="I154" s="25" t="str">
        <f>IF(Setup!C159&lt;&gt;"",Setup!C159,Setup!B159)</f>
        <v>Group F</v>
      </c>
    </row>
    <row r="155" spans="1:9" x14ac:dyDescent="0.25">
      <c r="A155" s="24">
        <v>154</v>
      </c>
      <c r="B155" s="25" t="str">
        <f>Setup!B160</f>
        <v>Group G</v>
      </c>
      <c r="C155" s="24" t="s">
        <v>58</v>
      </c>
      <c r="D155" s="25" t="s">
        <v>342</v>
      </c>
      <c r="E155" s="25" t="s">
        <v>343</v>
      </c>
      <c r="F155" s="25" t="s">
        <v>344</v>
      </c>
      <c r="G155" s="25" t="s">
        <v>345</v>
      </c>
      <c r="H155" s="24" t="s">
        <v>345</v>
      </c>
      <c r="I155" s="25" t="str">
        <f>IF(Setup!C160&lt;&gt;"",Setup!C160,Setup!B160)</f>
        <v>Group G</v>
      </c>
    </row>
    <row r="156" spans="1:9" x14ac:dyDescent="0.25">
      <c r="A156" s="24">
        <v>155</v>
      </c>
      <c r="B156" s="25" t="str">
        <f>Setup!B161</f>
        <v>Group H</v>
      </c>
      <c r="C156" s="24" t="s">
        <v>59</v>
      </c>
      <c r="D156" s="25" t="s">
        <v>346</v>
      </c>
      <c r="E156" s="25" t="s">
        <v>347</v>
      </c>
      <c r="F156" s="25" t="s">
        <v>348</v>
      </c>
      <c r="G156" s="25" t="s">
        <v>349</v>
      </c>
      <c r="H156" s="24" t="s">
        <v>349</v>
      </c>
      <c r="I156" s="25" t="str">
        <f>IF(Setup!C161&lt;&gt;"",Setup!C161,Setup!B161)</f>
        <v>Group H</v>
      </c>
    </row>
    <row r="157" spans="1:9" x14ac:dyDescent="0.25">
      <c r="A157" s="24">
        <v>156</v>
      </c>
      <c r="B157" s="25" t="str">
        <f>Setup!B162</f>
        <v>Group I</v>
      </c>
      <c r="C157" s="24" t="s">
        <v>545</v>
      </c>
      <c r="D157" s="25" t="s">
        <v>687</v>
      </c>
      <c r="E157" s="25" t="s">
        <v>691</v>
      </c>
      <c r="F157" s="25" t="s">
        <v>695</v>
      </c>
      <c r="G157" s="25" t="s">
        <v>699</v>
      </c>
      <c r="H157" s="24" t="s">
        <v>699</v>
      </c>
      <c r="I157" s="25" t="str">
        <f>IF(Setup!C162&lt;&gt;"",Setup!C162,Setup!B162)</f>
        <v>Group I</v>
      </c>
    </row>
    <row r="158" spans="1:9" x14ac:dyDescent="0.25">
      <c r="A158" s="24">
        <v>157</v>
      </c>
      <c r="B158" s="25" t="str">
        <f>Setup!B163</f>
        <v>Group J</v>
      </c>
      <c r="C158" s="24" t="s">
        <v>546</v>
      </c>
      <c r="D158" s="25" t="s">
        <v>688</v>
      </c>
      <c r="E158" s="25" t="s">
        <v>692</v>
      </c>
      <c r="F158" s="25" t="s">
        <v>696</v>
      </c>
      <c r="G158" s="25" t="s">
        <v>700</v>
      </c>
      <c r="H158" s="24" t="s">
        <v>700</v>
      </c>
      <c r="I158" s="25" t="str">
        <f>IF(Setup!C163&lt;&gt;"",Setup!C163,Setup!B163)</f>
        <v>Group J</v>
      </c>
    </row>
    <row r="159" spans="1:9" x14ac:dyDescent="0.25">
      <c r="A159" s="24">
        <v>158</v>
      </c>
      <c r="B159" s="25" t="str">
        <f>Setup!B164</f>
        <v>Group K</v>
      </c>
      <c r="C159" s="24" t="s">
        <v>547</v>
      </c>
      <c r="D159" s="25" t="s">
        <v>689</v>
      </c>
      <c r="E159" s="25" t="s">
        <v>693</v>
      </c>
      <c r="F159" s="25" t="s">
        <v>697</v>
      </c>
      <c r="G159" s="25" t="s">
        <v>701</v>
      </c>
      <c r="H159" s="24" t="s">
        <v>701</v>
      </c>
      <c r="I159" s="25" t="str">
        <f>IF(Setup!C164&lt;&gt;"",Setup!C164,Setup!B164)</f>
        <v>Group K</v>
      </c>
    </row>
    <row r="160" spans="1:9" x14ac:dyDescent="0.25">
      <c r="A160" s="24">
        <v>159</v>
      </c>
      <c r="B160" s="25" t="str">
        <f>Setup!B165</f>
        <v>Group L</v>
      </c>
      <c r="C160" s="24" t="s">
        <v>548</v>
      </c>
      <c r="D160" s="25" t="s">
        <v>690</v>
      </c>
      <c r="E160" s="25" t="s">
        <v>694</v>
      </c>
      <c r="F160" s="25" t="s">
        <v>698</v>
      </c>
      <c r="G160" s="25" t="s">
        <v>702</v>
      </c>
      <c r="H160" s="24" t="s">
        <v>702</v>
      </c>
      <c r="I160" s="25" t="str">
        <f>IF(Setup!C165&lt;&gt;"",Setup!C165,Setup!B165)</f>
        <v>Group L</v>
      </c>
    </row>
    <row r="161" spans="1:9" x14ac:dyDescent="0.25">
      <c r="A161" s="24">
        <v>160</v>
      </c>
      <c r="B161" s="25" t="str">
        <f>Setup!B166</f>
        <v>Match 49 Winner</v>
      </c>
      <c r="C161" s="24" t="s">
        <v>60</v>
      </c>
      <c r="D161" s="25" t="s">
        <v>350</v>
      </c>
      <c r="E161" s="25" t="s">
        <v>351</v>
      </c>
      <c r="F161" s="25" t="s">
        <v>352</v>
      </c>
      <c r="G161" s="25" t="s">
        <v>353</v>
      </c>
      <c r="H161" s="24" t="s">
        <v>354</v>
      </c>
      <c r="I161" s="25" t="str">
        <f>IF(Setup!C166&lt;&gt;"",Setup!C166,Setup!B166)</f>
        <v>Match 49 Winner</v>
      </c>
    </row>
    <row r="162" spans="1:9" x14ac:dyDescent="0.25">
      <c r="A162" s="24">
        <v>161</v>
      </c>
      <c r="B162" s="25" t="str">
        <f>Setup!B167</f>
        <v>Match 50 Winner</v>
      </c>
      <c r="C162" s="24" t="s">
        <v>61</v>
      </c>
      <c r="D162" s="25" t="s">
        <v>355</v>
      </c>
      <c r="E162" s="25" t="s">
        <v>356</v>
      </c>
      <c r="F162" s="25" t="s">
        <v>357</v>
      </c>
      <c r="G162" s="25" t="s">
        <v>358</v>
      </c>
      <c r="H162" s="24" t="s">
        <v>359</v>
      </c>
      <c r="I162" s="25" t="str">
        <f>IF(Setup!C167&lt;&gt;"",Setup!C167,Setup!B167)</f>
        <v>Match 50 Winner</v>
      </c>
    </row>
    <row r="163" spans="1:9" x14ac:dyDescent="0.25">
      <c r="A163" s="24">
        <v>162</v>
      </c>
      <c r="B163" s="25" t="str">
        <f>Setup!B168</f>
        <v>Match 51 Winner</v>
      </c>
      <c r="C163" s="24" t="s">
        <v>62</v>
      </c>
      <c r="D163" s="25" t="s">
        <v>360</v>
      </c>
      <c r="E163" s="25" t="s">
        <v>361</v>
      </c>
      <c r="F163" s="25" t="s">
        <v>362</v>
      </c>
      <c r="G163" s="25" t="s">
        <v>363</v>
      </c>
      <c r="H163" s="24" t="s">
        <v>364</v>
      </c>
      <c r="I163" s="25" t="str">
        <f>IF(Setup!C168&lt;&gt;"",Setup!C168,Setup!B168)</f>
        <v>Match 51 Winner</v>
      </c>
    </row>
    <row r="164" spans="1:9" x14ac:dyDescent="0.25">
      <c r="A164" s="24">
        <v>163</v>
      </c>
      <c r="B164" s="25" t="str">
        <f>Setup!B169</f>
        <v>Match 52 Winner</v>
      </c>
      <c r="C164" s="24" t="s">
        <v>63</v>
      </c>
      <c r="D164" s="25" t="s">
        <v>365</v>
      </c>
      <c r="E164" s="25" t="s">
        <v>366</v>
      </c>
      <c r="F164" s="25" t="s">
        <v>367</v>
      </c>
      <c r="G164" s="25" t="s">
        <v>368</v>
      </c>
      <c r="H164" s="24" t="s">
        <v>369</v>
      </c>
      <c r="I164" s="25" t="str">
        <f>IF(Setup!C169&lt;&gt;"",Setup!C169,Setup!B169)</f>
        <v>Match 52 Winner</v>
      </c>
    </row>
    <row r="165" spans="1:9" x14ac:dyDescent="0.25">
      <c r="A165" s="24">
        <v>164</v>
      </c>
      <c r="B165" s="25" t="str">
        <f>Setup!B170</f>
        <v>Match 61 Loser</v>
      </c>
      <c r="C165" s="24" t="s">
        <v>64</v>
      </c>
      <c r="D165" s="25" t="s">
        <v>370</v>
      </c>
      <c r="E165" s="25" t="s">
        <v>371</v>
      </c>
      <c r="F165" s="25" t="s">
        <v>372</v>
      </c>
      <c r="G165" s="25" t="s">
        <v>373</v>
      </c>
      <c r="H165" s="24" t="s">
        <v>374</v>
      </c>
      <c r="I165" s="25" t="str">
        <f>IF(Setup!C170&lt;&gt;"",Setup!C170,Setup!B170)</f>
        <v>Match 61 Loser</v>
      </c>
    </row>
    <row r="166" spans="1:9" x14ac:dyDescent="0.25">
      <c r="A166" s="24">
        <v>165</v>
      </c>
      <c r="B166" s="25" t="str">
        <f>Setup!B171</f>
        <v>Match 62 Loser</v>
      </c>
      <c r="C166" s="24" t="s">
        <v>65</v>
      </c>
      <c r="D166" s="25" t="s">
        <v>375</v>
      </c>
      <c r="E166" s="25" t="s">
        <v>376</v>
      </c>
      <c r="F166" s="25" t="s">
        <v>377</v>
      </c>
      <c r="G166" s="25" t="s">
        <v>378</v>
      </c>
      <c r="H166" s="24" t="s">
        <v>379</v>
      </c>
      <c r="I166" s="25" t="str">
        <f>IF(Setup!C171&lt;&gt;"",Setup!C171,Setup!B171)</f>
        <v>Match 62 Loser</v>
      </c>
    </row>
    <row r="167" spans="1:9" x14ac:dyDescent="0.25">
      <c r="A167" s="24">
        <v>166</v>
      </c>
      <c r="B167" s="25" t="str">
        <f>Setup!B172</f>
        <v>Venue</v>
      </c>
      <c r="C167" s="24" t="s">
        <v>66</v>
      </c>
      <c r="D167" s="25" t="s">
        <v>380</v>
      </c>
      <c r="E167" s="25" t="s">
        <v>381</v>
      </c>
      <c r="F167" s="25" t="s">
        <v>382</v>
      </c>
      <c r="G167" s="25" t="s">
        <v>383</v>
      </c>
      <c r="H167" s="24" t="s">
        <v>384</v>
      </c>
      <c r="I167" s="25" t="str">
        <f>IF(Setup!C172&lt;&gt;"",Setup!C172,Setup!B172)</f>
        <v>Venue</v>
      </c>
    </row>
    <row r="168" spans="1:9" x14ac:dyDescent="0.25">
      <c r="A168" s="24">
        <v>167</v>
      </c>
      <c r="B168" s="25" t="str">
        <f>Setup!B173</f>
        <v>World Cup 2026 Fixtures</v>
      </c>
      <c r="C168" s="24" t="s">
        <v>629</v>
      </c>
      <c r="D168" s="25" t="s">
        <v>385</v>
      </c>
      <c r="E168" s="25" t="s">
        <v>386</v>
      </c>
      <c r="F168" s="25" t="s">
        <v>387</v>
      </c>
      <c r="G168" s="25" t="s">
        <v>388</v>
      </c>
      <c r="H168" s="24" t="s">
        <v>389</v>
      </c>
      <c r="I168" s="25" t="str">
        <f>IF(Setup!C173&lt;&gt;"",Setup!C173,Setup!B173)</f>
        <v>World Cup 2026 Fixtures</v>
      </c>
    </row>
    <row r="169" spans="1:9" x14ac:dyDescent="0.25">
      <c r="A169" s="24">
        <v>168</v>
      </c>
      <c r="B169" s="25" t="str">
        <f>Setup!B174</f>
        <v>World Cup 2026 Champion</v>
      </c>
      <c r="C169" s="24" t="s">
        <v>630</v>
      </c>
      <c r="D169" s="25" t="s">
        <v>390</v>
      </c>
      <c r="E169" s="25" t="s">
        <v>391</v>
      </c>
      <c r="F169" s="25" t="s">
        <v>392</v>
      </c>
      <c r="G169" s="25" t="s">
        <v>393</v>
      </c>
      <c r="H169" s="24" t="s">
        <v>394</v>
      </c>
      <c r="I169" s="25" t="str">
        <f>IF(Setup!C174&lt;&gt;"",Setup!C174,Setup!B174)</f>
        <v>World Cup 2026 Champion</v>
      </c>
    </row>
    <row r="170" spans="1:9" x14ac:dyDescent="0.25">
      <c r="A170" s="24">
        <v>169</v>
      </c>
      <c r="B170" s="25" t="str">
        <f>Setup!B175</f>
        <v>World Cup 2026 Runner Up</v>
      </c>
      <c r="C170" s="25" t="s">
        <v>631</v>
      </c>
      <c r="D170" s="25" t="s">
        <v>946</v>
      </c>
      <c r="E170" s="25" t="s">
        <v>944</v>
      </c>
      <c r="F170" s="25" t="s">
        <v>942</v>
      </c>
      <c r="G170" s="25" t="s">
        <v>940</v>
      </c>
      <c r="H170" s="24" t="s">
        <v>938</v>
      </c>
      <c r="I170" s="25" t="str">
        <f>IF(Setup!C175&lt;&gt;"",Setup!C175,Setup!B175)</f>
        <v>World Cup 2026 Runner Up</v>
      </c>
    </row>
    <row r="171" spans="1:9" x14ac:dyDescent="0.25">
      <c r="A171" s="24">
        <v>170</v>
      </c>
      <c r="B171" s="25" t="str">
        <f>Setup!B176</f>
        <v>World Cup 2026 Third Place</v>
      </c>
      <c r="C171" s="25" t="s">
        <v>632</v>
      </c>
      <c r="D171" s="25" t="s">
        <v>947</v>
      </c>
      <c r="E171" s="25" t="s">
        <v>945</v>
      </c>
      <c r="F171" s="25" t="s">
        <v>943</v>
      </c>
      <c r="G171" s="25" t="s">
        <v>941</v>
      </c>
      <c r="H171" s="24" t="s">
        <v>939</v>
      </c>
      <c r="I171" s="25" t="str">
        <f>IF(Setup!C176&lt;&gt;"",Setup!C176,Setup!B176)</f>
        <v>World Cup 2026 Third Place</v>
      </c>
    </row>
  </sheetData>
  <sheetProtection selectLockedCells="1" selectUnlockedCells="1"/>
  <phoneticPr fontId="29" type="noConversion"/>
  <pageMargins left="0.75" right="0.75" top="1" bottom="1" header="0.5" footer="0.5"/>
  <pageSetup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CR12"/>
  <sheetViews>
    <sheetView showGridLines="0" workbookViewId="0">
      <pane ySplit="2" topLeftCell="A3" activePane="bottomLeft" state="frozen"/>
      <selection pane="bottomLeft" activeCell="S12" sqref="S12"/>
    </sheetView>
  </sheetViews>
  <sheetFormatPr defaultRowHeight="12.75" x14ac:dyDescent="0.2"/>
  <cols>
    <col min="1" max="1" width="1.5703125" customWidth="1"/>
  </cols>
  <sheetData>
    <row r="1" spans="2:96" s="215" customFormat="1" ht="5.0999999999999996" customHeight="1" x14ac:dyDescent="0.2"/>
    <row r="2" spans="2:96" s="1" customFormat="1" ht="36" x14ac:dyDescent="0.2">
      <c r="B2" s="17" t="s">
        <v>417</v>
      </c>
      <c r="D2" s="3"/>
      <c r="F2" s="4"/>
      <c r="G2" s="4"/>
      <c r="J2" s="4"/>
      <c r="K2" s="5"/>
      <c r="L2" s="5"/>
      <c r="M2" s="5"/>
      <c r="O2" s="6"/>
      <c r="P2" s="6"/>
      <c r="Q2" s="6"/>
      <c r="R2" s="6"/>
      <c r="S2" s="6"/>
      <c r="X2" s="7"/>
      <c r="Y2" s="32"/>
      <c r="CO2" s="11"/>
      <c r="CP2" s="11"/>
      <c r="CQ2" s="11"/>
      <c r="CR2" s="11"/>
    </row>
    <row r="12" spans="2:96" x14ac:dyDescent="0.2">
      <c r="G12" s="18" t="s">
        <v>475</v>
      </c>
    </row>
  </sheetData>
  <sheetProtection algorithmName="SHA-512" hashValue="uHSDxpZU7DtrHUQQeP6Z3pZbhlyqaiek50OZhSWq1WcWLyVymdMMKtiEv5qvm8bbY30Wc7OQIP/D4zuu8h+TTg==" saltValue="CE4BhOASPE6DjWw+c9G/TA==" spinCount="100000" sheet="1" objects="1" scenario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Q21"/>
  <sheetViews>
    <sheetView showGridLines="0" tabSelected="1" workbookViewId="0">
      <pane ySplit="3" topLeftCell="A4" activePane="bottomLeft" state="frozen"/>
      <selection pane="bottomLeft" activeCell="E9" sqref="E9"/>
    </sheetView>
  </sheetViews>
  <sheetFormatPr defaultRowHeight="12.75" x14ac:dyDescent="0.2"/>
  <cols>
    <col min="1" max="1" width="1.5703125" customWidth="1"/>
    <col min="2" max="2" width="2.42578125" customWidth="1"/>
    <col min="3" max="3" width="12.140625" customWidth="1"/>
    <col min="4" max="4" width="2.140625" customWidth="1"/>
    <col min="5" max="5" width="32" customWidth="1"/>
    <col min="6" max="6" width="26.28515625" customWidth="1"/>
    <col min="7" max="7" width="12.85546875" customWidth="1"/>
    <col min="8" max="8" width="2.5703125" customWidth="1"/>
    <col min="9" max="9" width="1.5703125" customWidth="1"/>
    <col min="10" max="12" width="15.7109375" style="45" customWidth="1"/>
  </cols>
  <sheetData>
    <row r="1" spans="1:95" s="59" customFormat="1" ht="5.0999999999999996" customHeight="1" x14ac:dyDescent="0.25">
      <c r="D1" s="204"/>
      <c r="E1" s="108"/>
      <c r="F1" s="65"/>
      <c r="Q1" s="63"/>
      <c r="R1" s="63"/>
      <c r="S1" s="63"/>
      <c r="T1" s="63"/>
      <c r="U1" s="63"/>
      <c r="V1" s="63"/>
      <c r="W1" s="67"/>
      <c r="X1" s="67"/>
      <c r="CN1" s="63"/>
      <c r="CO1" s="63"/>
      <c r="CP1" s="63"/>
      <c r="CQ1" s="63"/>
    </row>
    <row r="2" spans="1:95" s="1" customFormat="1" ht="36" x14ac:dyDescent="0.25">
      <c r="B2" s="17" t="s">
        <v>418</v>
      </c>
      <c r="D2" s="3"/>
      <c r="F2" s="4"/>
      <c r="I2" s="4"/>
      <c r="J2" s="19"/>
      <c r="K2" s="19"/>
      <c r="L2" s="19"/>
      <c r="N2" s="6"/>
      <c r="O2" s="6"/>
      <c r="P2" s="6"/>
      <c r="Q2" s="6"/>
      <c r="R2" s="6"/>
      <c r="CN2" s="11"/>
      <c r="CO2" s="11"/>
      <c r="CP2" s="11"/>
      <c r="CQ2" s="11"/>
    </row>
    <row r="3" spans="1:95" ht="5.0999999999999996" customHeight="1" x14ac:dyDescent="0.25">
      <c r="J3" s="19"/>
      <c r="K3" s="19"/>
      <c r="L3" s="19"/>
    </row>
    <row r="4" spans="1:95" ht="5.0999999999999996" customHeight="1" x14ac:dyDescent="0.25">
      <c r="B4" s="35"/>
      <c r="C4" s="35"/>
      <c r="D4" s="35"/>
      <c r="E4" s="35"/>
      <c r="F4" s="35"/>
      <c r="G4" s="35"/>
      <c r="H4" s="36"/>
    </row>
    <row r="5" spans="1:95" ht="28.5" x14ac:dyDescent="0.45">
      <c r="B5" s="35"/>
      <c r="C5" s="37" t="s">
        <v>429</v>
      </c>
      <c r="D5" s="35"/>
      <c r="E5" s="38"/>
      <c r="F5" s="39" t="s">
        <v>419</v>
      </c>
      <c r="G5" s="36"/>
      <c r="H5" s="40"/>
      <c r="J5" s="272" t="s">
        <v>430</v>
      </c>
      <c r="K5" s="272"/>
      <c r="L5" s="272"/>
      <c r="M5" s="272"/>
      <c r="N5" s="272"/>
      <c r="O5" s="272"/>
      <c r="P5" s="272"/>
    </row>
    <row r="6" spans="1:95" ht="5.0999999999999996" customHeight="1" x14ac:dyDescent="0.25">
      <c r="B6" s="35"/>
      <c r="C6" s="35"/>
      <c r="D6" s="35"/>
      <c r="E6" s="38"/>
      <c r="F6" s="38"/>
      <c r="G6" s="36"/>
      <c r="H6" s="40"/>
      <c r="J6" s="19"/>
      <c r="K6" s="19"/>
      <c r="L6" s="19"/>
    </row>
    <row r="7" spans="1:95" ht="15" customHeight="1" x14ac:dyDescent="0.25">
      <c r="B7" s="35"/>
      <c r="C7" s="35" t="s">
        <v>420</v>
      </c>
      <c r="D7" s="35" t="s">
        <v>108</v>
      </c>
      <c r="E7" s="35" t="s">
        <v>629</v>
      </c>
      <c r="F7" s="46" t="s">
        <v>1169</v>
      </c>
      <c r="G7" s="47"/>
      <c r="H7" s="40"/>
      <c r="J7" s="19"/>
      <c r="K7" s="19"/>
      <c r="L7" s="19"/>
    </row>
    <row r="8" spans="1:95" ht="15" customHeight="1" x14ac:dyDescent="0.25">
      <c r="B8" s="35"/>
      <c r="C8" s="35" t="s">
        <v>421</v>
      </c>
      <c r="D8" s="35" t="s">
        <v>108</v>
      </c>
      <c r="E8" s="41" t="s">
        <v>1170</v>
      </c>
      <c r="F8" s="273"/>
      <c r="G8" s="273"/>
      <c r="H8" s="40"/>
      <c r="J8" s="19"/>
      <c r="K8" s="19"/>
      <c r="L8" s="19"/>
    </row>
    <row r="9" spans="1:95" ht="15" customHeight="1" x14ac:dyDescent="0.25">
      <c r="B9" s="35"/>
      <c r="C9" s="35" t="s">
        <v>422</v>
      </c>
      <c r="D9" s="35" t="s">
        <v>108</v>
      </c>
      <c r="E9" s="35" t="s">
        <v>423</v>
      </c>
      <c r="F9" s="273"/>
      <c r="G9" s="273"/>
      <c r="H9" s="40"/>
      <c r="J9" s="19"/>
      <c r="K9" s="19"/>
      <c r="L9" s="19"/>
    </row>
    <row r="10" spans="1:95" ht="15" customHeight="1" x14ac:dyDescent="0.25">
      <c r="B10" s="35"/>
      <c r="C10" s="35" t="s">
        <v>424</v>
      </c>
      <c r="D10" s="35" t="s">
        <v>108</v>
      </c>
      <c r="E10" s="42" t="s">
        <v>425</v>
      </c>
      <c r="F10" s="273"/>
      <c r="G10" s="273"/>
      <c r="H10" s="40"/>
      <c r="J10" s="19"/>
      <c r="K10" s="19"/>
      <c r="L10" s="19"/>
    </row>
    <row r="11" spans="1:95" ht="15" customHeight="1" x14ac:dyDescent="0.25">
      <c r="B11" s="35"/>
      <c r="C11" s="35" t="s">
        <v>426</v>
      </c>
      <c r="D11" s="35" t="s">
        <v>108</v>
      </c>
      <c r="E11" s="43" t="s">
        <v>427</v>
      </c>
      <c r="F11" s="35"/>
      <c r="G11" s="35"/>
      <c r="H11" s="40"/>
      <c r="J11" s="19"/>
      <c r="K11" s="19"/>
      <c r="L11" s="19"/>
    </row>
    <row r="12" spans="1:95" ht="15" customHeight="1" x14ac:dyDescent="0.25">
      <c r="B12" s="35"/>
      <c r="C12" s="35" t="s">
        <v>428</v>
      </c>
      <c r="D12" s="35" t="s">
        <v>108</v>
      </c>
      <c r="E12" s="44" t="s">
        <v>474</v>
      </c>
      <c r="F12" s="35"/>
      <c r="G12" s="35"/>
      <c r="H12" s="40"/>
      <c r="J12" s="19"/>
      <c r="K12" s="19"/>
      <c r="L12" s="19"/>
    </row>
    <row r="13" spans="1:95" ht="5.0999999999999996" customHeight="1" x14ac:dyDescent="0.25">
      <c r="B13" s="35"/>
      <c r="C13" s="35"/>
      <c r="D13" s="35"/>
      <c r="E13" s="35"/>
      <c r="F13" s="35"/>
      <c r="G13" s="36"/>
      <c r="H13" s="40"/>
      <c r="J13" s="19"/>
      <c r="K13" s="19"/>
      <c r="L13" s="19"/>
    </row>
    <row r="14" spans="1:95" ht="5.0999999999999996" customHeight="1" x14ac:dyDescent="0.2"/>
    <row r="15" spans="1:95" ht="15" x14ac:dyDescent="0.2">
      <c r="B15" s="216"/>
      <c r="C15" s="216"/>
      <c r="D15" s="216"/>
      <c r="E15" s="216"/>
      <c r="F15" s="217" t="s">
        <v>424</v>
      </c>
      <c r="G15" s="217" t="s">
        <v>1126</v>
      </c>
      <c r="H15" s="217"/>
      <c r="I15" s="217"/>
      <c r="J15" s="217" t="s">
        <v>1127</v>
      </c>
    </row>
    <row r="16" spans="1:95" ht="45" customHeight="1" x14ac:dyDescent="0.2">
      <c r="A16" s="27"/>
      <c r="B16" s="218" t="s">
        <v>1124</v>
      </c>
      <c r="C16" s="218"/>
      <c r="D16" s="218"/>
      <c r="E16" s="218"/>
      <c r="F16" s="219" t="s">
        <v>1133</v>
      </c>
      <c r="G16" s="220" t="s">
        <v>1134</v>
      </c>
      <c r="H16" s="218"/>
      <c r="I16" s="218"/>
      <c r="J16" s="218"/>
    </row>
    <row r="17" spans="1:10" ht="45" customHeight="1" x14ac:dyDescent="0.2">
      <c r="A17" s="27"/>
      <c r="B17" s="221" t="s">
        <v>1125</v>
      </c>
      <c r="C17" s="221"/>
      <c r="D17" s="221"/>
      <c r="E17" s="221"/>
      <c r="F17" s="222" t="s">
        <v>1128</v>
      </c>
      <c r="G17" s="223" t="s">
        <v>1135</v>
      </c>
      <c r="H17" s="221"/>
      <c r="I17" s="221"/>
      <c r="J17" s="221"/>
    </row>
    <row r="18" spans="1:10" ht="45" customHeight="1" x14ac:dyDescent="0.2">
      <c r="A18" s="27"/>
      <c r="B18" s="218" t="s">
        <v>1129</v>
      </c>
      <c r="C18" s="218"/>
      <c r="D18" s="218"/>
      <c r="E18" s="218"/>
      <c r="F18" s="219" t="s">
        <v>1131</v>
      </c>
      <c r="G18" s="220" t="s">
        <v>1136</v>
      </c>
      <c r="H18" s="218"/>
      <c r="I18" s="218"/>
      <c r="J18" s="218"/>
    </row>
    <row r="19" spans="1:10" ht="45" customHeight="1" x14ac:dyDescent="0.2">
      <c r="A19" s="27"/>
      <c r="B19" s="221" t="s">
        <v>1130</v>
      </c>
      <c r="C19" s="221"/>
      <c r="D19" s="221"/>
      <c r="E19" s="221"/>
      <c r="F19" s="222" t="s">
        <v>1132</v>
      </c>
      <c r="G19" s="223" t="s">
        <v>1137</v>
      </c>
      <c r="H19" s="221"/>
      <c r="I19" s="221"/>
      <c r="J19" s="221"/>
    </row>
    <row r="20" spans="1:10" ht="39.950000000000003" customHeight="1" x14ac:dyDescent="0.2"/>
    <row r="21" spans="1:10" ht="24.95" customHeight="1" x14ac:dyDescent="0.2"/>
  </sheetData>
  <sheetProtection algorithmName="SHA-512" hashValue="o/F+Z7kKan1XP2LBwBdyBUi27+1pUCh3LOijGFboKwixVFr8OTEVC04BpXUfTKCMK2rbs6HQDOepaggp5pkTIA==" saltValue="zeopvj1xD5IeztI83hsZcg==" spinCount="100000" sheet="1" objects="1" scenarios="1"/>
  <mergeCells count="2">
    <mergeCell ref="J5:P5"/>
    <mergeCell ref="F8:G10"/>
  </mergeCells>
  <hyperlinks>
    <hyperlink ref="J5:P5" r:id="rId1" display="Get more sport spreadsheets in journalSHEET.com" xr:uid="{00000000-0004-0000-0500-000000000000}"/>
    <hyperlink ref="F17" r:id="rId2" xr:uid="{D95D2D22-7D5A-4C8A-A5FC-15EEBFCE582A}"/>
    <hyperlink ref="F18" r:id="rId3" xr:uid="{5D0FE7EA-B2C6-4BBD-8EE6-4B0931EF75AB}"/>
    <hyperlink ref="F19" r:id="rId4" xr:uid="{59E7759E-607C-4C4B-A761-04D7C8FB8BC9}"/>
    <hyperlink ref="F16" r:id="rId5" xr:uid="{E159E7B3-5072-4F67-BEED-618650ACCA8F}"/>
  </hyperlinks>
  <pageMargins left="0.7" right="0.7" top="0.75" bottom="0.75" header="0.3" footer="0.3"/>
  <pageSetup orientation="portrait"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18</vt:i4>
      </vt:variant>
    </vt:vector>
  </HeadingPairs>
  <TitlesOfParts>
    <vt:vector size="24" baseType="lpstr">
      <vt:lpstr>Setup</vt:lpstr>
      <vt:lpstr>Matches</vt:lpstr>
      <vt:lpstr>Calculator</vt:lpstr>
      <vt:lpstr>Language</vt:lpstr>
      <vt:lpstr>License</vt:lpstr>
      <vt:lpstr>About</vt:lpstr>
      <vt:lpstr>Countries</vt:lpstr>
      <vt:lpstr>GroupA</vt:lpstr>
      <vt:lpstr>GroupB</vt:lpstr>
      <vt:lpstr>GroupC</vt:lpstr>
      <vt:lpstr>GroupD</vt:lpstr>
      <vt:lpstr>GroupE</vt:lpstr>
      <vt:lpstr>GroupF</vt:lpstr>
      <vt:lpstr>GroupG</vt:lpstr>
      <vt:lpstr>GroupH</vt:lpstr>
      <vt:lpstr>LanguageRef</vt:lpstr>
      <vt:lpstr>Matches!Print_Area</vt:lpstr>
      <vt:lpstr>Setup!Print_Area</vt:lpstr>
      <vt:lpstr>Matches!Print_Titles</vt:lpstr>
      <vt:lpstr>Team</vt:lpstr>
      <vt:lpstr>TimeZoneData</vt:lpstr>
      <vt:lpstr>TimeZoneList</vt:lpstr>
      <vt:lpstr>Translation</vt:lpstr>
      <vt:lpstr>TransRef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journalSHEET.com</dc:creator>
  <cp:lastModifiedBy>User</cp:lastModifiedBy>
  <cp:lastPrinted>2026-03-11T05:01:47Z</cp:lastPrinted>
  <dcterms:created xsi:type="dcterms:W3CDTF">2022-06-15T04:56:38Z</dcterms:created>
  <dcterms:modified xsi:type="dcterms:W3CDTF">2026-04-25T10:43:38Z</dcterms:modified>
</cp:coreProperties>
</file>